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OC2023\ICTM\ADMINISTRACIÓN DEL RIESGO\Mapa de Riesgos\31 de Enero de 2024\"/>
    </mc:Choice>
  </mc:AlternateContent>
  <xr:revisionPtr revIDLastSave="0" documentId="13_ncr:1_{7D47A580-31CB-4442-843C-3FD4805ABC84}"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2" r:id="rId10"/>
  </pivotCaches>
</workbook>
</file>

<file path=xl/calcChain.xml><?xml version="1.0" encoding="utf-8"?>
<calcChain xmlns="http://schemas.openxmlformats.org/spreadsheetml/2006/main">
  <c r="Z29" i="1" l="1"/>
  <c r="X30" i="1" s="1"/>
  <c r="Y29" i="1"/>
  <c r="X29" i="1"/>
  <c r="X28" i="1"/>
  <c r="Z28" i="1" s="1"/>
  <c r="Z30" i="1" l="1"/>
  <c r="Y30" i="1"/>
  <c r="Y28" i="1"/>
  <c r="AB41" i="1" l="1"/>
  <c r="AA41" i="1"/>
  <c r="AC41" i="1" s="1"/>
  <c r="Q10" i="1"/>
  <c r="H52" i="1"/>
  <c r="H46" i="1"/>
  <c r="H40" i="1"/>
  <c r="H34" i="1"/>
  <c r="H28" i="1"/>
  <c r="H22" i="1"/>
  <c r="H16" i="1"/>
  <c r="H10" i="1"/>
  <c r="K50" i="1"/>
  <c r="K57" i="1"/>
  <c r="K42" i="1"/>
  <c r="K15" i="1"/>
  <c r="K44" i="1"/>
  <c r="K38" i="1"/>
  <c r="K43" i="1"/>
  <c r="K30" i="1"/>
  <c r="K56" i="1"/>
  <c r="K39" i="1"/>
  <c r="K31" i="1"/>
  <c r="K11" i="1"/>
  <c r="K47" i="1"/>
  <c r="K17" i="1"/>
  <c r="K18" i="1"/>
  <c r="K23" i="1"/>
  <c r="K27" i="1"/>
  <c r="K54" i="1"/>
  <c r="K20" i="1"/>
  <c r="K24" i="1"/>
  <c r="K41" i="1"/>
  <c r="K49" i="1"/>
  <c r="K45" i="1"/>
  <c r="K37" i="1"/>
  <c r="K26" i="1"/>
  <c r="K51" i="1"/>
  <c r="K12" i="1"/>
  <c r="K25" i="1"/>
  <c r="K14" i="1"/>
  <c r="K55" i="1"/>
  <c r="K32" i="1"/>
  <c r="K21" i="1"/>
  <c r="K13" i="1"/>
  <c r="K19" i="1"/>
  <c r="K48" i="1"/>
  <c r="K36" i="1"/>
  <c r="K35" i="1"/>
  <c r="K53" i="1"/>
  <c r="K29" i="1"/>
  <c r="K33" i="1"/>
  <c r="F221" i="13" l="1"/>
  <c r="F211" i="13"/>
  <c r="F212" i="13"/>
  <c r="F213" i="13"/>
  <c r="F214" i="13"/>
  <c r="F215" i="13"/>
  <c r="F216" i="13"/>
  <c r="F217" i="13"/>
  <c r="F218" i="13"/>
  <c r="F219" i="13"/>
  <c r="F220" i="13"/>
  <c r="F210" i="13"/>
  <c r="B221" i="13" a="1"/>
  <c r="B221" i="13" l="1"/>
  <c r="Q40" i="1"/>
  <c r="Q35" i="1"/>
  <c r="Q29"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7" i="1" l="1"/>
  <c r="Q57" i="1"/>
  <c r="T56" i="1"/>
  <c r="Q56" i="1"/>
  <c r="T55" i="1"/>
  <c r="Q55" i="1"/>
  <c r="T54" i="1"/>
  <c r="Q54" i="1"/>
  <c r="T53" i="1"/>
  <c r="Q53" i="1"/>
  <c r="T52" i="1"/>
  <c r="Q52" i="1"/>
  <c r="I52" i="1"/>
  <c r="T51" i="1"/>
  <c r="Q51" i="1"/>
  <c r="T50" i="1"/>
  <c r="Q50" i="1"/>
  <c r="T49" i="1"/>
  <c r="Q49" i="1"/>
  <c r="T48" i="1"/>
  <c r="Q48" i="1"/>
  <c r="T47" i="1"/>
  <c r="Q47" i="1"/>
  <c r="T46" i="1"/>
  <c r="Q46" i="1"/>
  <c r="I46" i="1"/>
  <c r="T45" i="1"/>
  <c r="Q45" i="1"/>
  <c r="T44" i="1"/>
  <c r="Q44" i="1"/>
  <c r="T43" i="1"/>
  <c r="Q43" i="1"/>
  <c r="T42" i="1"/>
  <c r="Q42" i="1"/>
  <c r="T41" i="1"/>
  <c r="Q41" i="1"/>
  <c r="T40" i="1"/>
  <c r="I40" i="1"/>
  <c r="T39" i="1"/>
  <c r="Q39" i="1"/>
  <c r="T38" i="1"/>
  <c r="Q38" i="1"/>
  <c r="T37" i="1"/>
  <c r="Q37" i="1"/>
  <c r="T36" i="1"/>
  <c r="Q36" i="1"/>
  <c r="T35" i="1"/>
  <c r="T34" i="1"/>
  <c r="Q34" i="1"/>
  <c r="I34" i="1"/>
  <c r="T33" i="1"/>
  <c r="Q33" i="1"/>
  <c r="T32" i="1"/>
  <c r="Q32" i="1"/>
  <c r="T31" i="1"/>
  <c r="Q31" i="1"/>
  <c r="T30" i="1"/>
  <c r="Q30" i="1"/>
  <c r="T29" i="1"/>
  <c r="T28" i="1"/>
  <c r="Q28" i="1"/>
  <c r="I28" i="1"/>
  <c r="T27" i="1"/>
  <c r="Q27" i="1"/>
  <c r="T26" i="1"/>
  <c r="Q26" i="1"/>
  <c r="T25" i="1"/>
  <c r="Q25" i="1"/>
  <c r="T24" i="1"/>
  <c r="Q24" i="1"/>
  <c r="T23" i="1"/>
  <c r="Q23" i="1"/>
  <c r="T22" i="1"/>
  <c r="Q22" i="1"/>
  <c r="I22" i="1"/>
  <c r="T21" i="1"/>
  <c r="Q21" i="1"/>
  <c r="T20" i="1"/>
  <c r="Q20" i="1"/>
  <c r="T19" i="1"/>
  <c r="Q19" i="1"/>
  <c r="T18" i="1"/>
  <c r="Q18" i="1"/>
  <c r="T17" i="1"/>
  <c r="Q17" i="1"/>
  <c r="T16" i="1"/>
  <c r="Q16" i="1"/>
  <c r="I16" i="1"/>
  <c r="T15" i="1"/>
  <c r="Q15" i="1"/>
  <c r="T14" i="1"/>
  <c r="Q14" i="1"/>
  <c r="T13" i="1"/>
  <c r="Q13" i="1"/>
  <c r="T12" i="1"/>
  <c r="Q12" i="1"/>
  <c r="T11" i="1"/>
  <c r="Q11" i="1"/>
  <c r="T10" i="1"/>
  <c r="I10" i="1"/>
  <c r="AB38" i="1" l="1"/>
  <c r="AA38" i="1" s="1"/>
  <c r="AB39" i="1"/>
  <c r="AA39" i="1" s="1"/>
  <c r="X52" i="1"/>
  <c r="X46" i="1"/>
  <c r="X40" i="1"/>
  <c r="X34" i="1"/>
  <c r="X38" i="1"/>
  <c r="X39" i="1"/>
  <c r="X22" i="1"/>
  <c r="X16" i="1"/>
  <c r="X10" i="1"/>
  <c r="Y52" i="1" l="1"/>
  <c r="Z52" i="1"/>
  <c r="X53" i="1" s="1"/>
  <c r="Y53" i="1" s="1"/>
  <c r="Y46" i="1"/>
  <c r="Z46" i="1"/>
  <c r="X47" i="1" s="1"/>
  <c r="Z47" i="1" s="1"/>
  <c r="X48" i="1" s="1"/>
  <c r="Y40" i="1"/>
  <c r="Z40" i="1"/>
  <c r="X41" i="1" s="1"/>
  <c r="Z41" i="1" s="1"/>
  <c r="X42" i="1" s="1"/>
  <c r="Y39" i="1"/>
  <c r="Z39" i="1"/>
  <c r="Y38" i="1"/>
  <c r="Z38" i="1"/>
  <c r="Y34" i="1"/>
  <c r="Z34" i="1"/>
  <c r="Y22" i="1"/>
  <c r="Z22" i="1"/>
  <c r="Y16" i="1"/>
  <c r="Z16" i="1"/>
  <c r="X17" i="1" s="1"/>
  <c r="Z17" i="1" s="1"/>
  <c r="X18" i="1" s="1"/>
  <c r="Y18" i="1" s="1"/>
  <c r="Y10" i="1"/>
  <c r="Z10" i="1"/>
  <c r="X11" i="1" s="1"/>
  <c r="Y11" i="1" s="1"/>
  <c r="Y47" i="1" l="1"/>
  <c r="Y41" i="1"/>
  <c r="Z11" i="1"/>
  <c r="X12" i="1" s="1"/>
  <c r="Y12" i="1" s="1"/>
  <c r="Y17" i="1"/>
  <c r="Z48" i="1"/>
  <c r="X49" i="1" s="1"/>
  <c r="Y48" i="1"/>
  <c r="Z42" i="1"/>
  <c r="X43" i="1" s="1"/>
  <c r="Y42" i="1"/>
  <c r="Z53" i="1"/>
  <c r="X54" i="1" s="1"/>
  <c r="X23" i="1"/>
  <c r="X35" i="1"/>
  <c r="Z1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8" i="1"/>
  <c r="AC39" i="1"/>
  <c r="Y49" i="1" l="1"/>
  <c r="Z49" i="1"/>
  <c r="Y43" i="1"/>
  <c r="Z43" i="1"/>
  <c r="X44" i="1" s="1"/>
  <c r="Z12" i="1"/>
  <c r="X13" i="1" s="1"/>
  <c r="Z13" i="1" s="1"/>
  <c r="Y54" i="1"/>
  <c r="Z54" i="1"/>
  <c r="X55" i="1" s="1"/>
  <c r="Y35" i="1"/>
  <c r="Z35" i="1"/>
  <c r="X36" i="1" s="1"/>
  <c r="Z36" i="1" s="1"/>
  <c r="X37" i="1" s="1"/>
  <c r="Y23" i="1"/>
  <c r="Z23" i="1"/>
  <c r="X24" i="1" s="1"/>
  <c r="Y24" i="1" s="1"/>
  <c r="X20" i="1"/>
  <c r="Y20" i="1" s="1"/>
  <c r="X19" i="1"/>
  <c r="Y36" i="1" l="1"/>
  <c r="Z24" i="1"/>
  <c r="X25" i="1" s="1"/>
  <c r="Z25" i="1" s="1"/>
  <c r="X26" i="1" s="1"/>
  <c r="Y44" i="1"/>
  <c r="Z44" i="1"/>
  <c r="X45" i="1" s="1"/>
  <c r="X50" i="1"/>
  <c r="X51" i="1"/>
  <c r="Y13" i="1"/>
  <c r="Y31" i="1"/>
  <c r="Y32" i="1"/>
  <c r="Y37" i="1"/>
  <c r="Z37" i="1"/>
  <c r="X14" i="1"/>
  <c r="Z55" i="1"/>
  <c r="Y55" i="1"/>
  <c r="Y19" i="1"/>
  <c r="Z19" i="1"/>
  <c r="Z20" i="1"/>
  <c r="X21" i="1" s="1"/>
  <c r="Y25" i="1" l="1"/>
  <c r="Y51" i="1"/>
  <c r="Z51" i="1"/>
  <c r="Y50" i="1"/>
  <c r="Z50" i="1"/>
  <c r="Y45" i="1"/>
  <c r="Z45" i="1"/>
  <c r="X56" i="1"/>
  <c r="X57" i="1"/>
  <c r="Y33" i="1"/>
  <c r="Z26" i="1"/>
  <c r="X27" i="1" s="1"/>
  <c r="Y26" i="1"/>
  <c r="Y14" i="1"/>
  <c r="Z14" i="1"/>
  <c r="X15" i="1" s="1"/>
  <c r="Y15" i="1" s="1"/>
  <c r="Y21" i="1"/>
  <c r="Z21" i="1"/>
  <c r="Y57" i="1" l="1"/>
  <c r="Z57" i="1"/>
  <c r="Y56" i="1"/>
  <c r="Z56" i="1"/>
  <c r="Y27" i="1"/>
  <c r="Z27" i="1"/>
  <c r="Z15" i="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B54" i="1" l="1"/>
  <c r="AB47" i="1"/>
  <c r="AB46" i="1"/>
  <c r="AB36" i="19" l="1"/>
  <c r="AH16" i="19"/>
  <c r="P16" i="19"/>
  <c r="V46" i="19"/>
  <c r="J6" i="19"/>
  <c r="AB16" i="19"/>
  <c r="V26" i="19"/>
  <c r="V16" i="19"/>
  <c r="AB6" i="19"/>
  <c r="J26" i="19"/>
  <c r="P6" i="19"/>
  <c r="AH46" i="19"/>
  <c r="P46" i="19"/>
  <c r="AH26" i="19"/>
  <c r="AH36" i="19"/>
  <c r="V36" i="19"/>
  <c r="P36" i="19"/>
  <c r="V6" i="19"/>
  <c r="AH6" i="19"/>
  <c r="AB46" i="19"/>
  <c r="AB26" i="19"/>
  <c r="J16" i="19"/>
  <c r="P26" i="19"/>
  <c r="J36" i="19"/>
  <c r="J46"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A46" i="1"/>
  <c r="AB53" i="1"/>
  <c r="AA53" i="1" s="1"/>
  <c r="AA54" i="1"/>
  <c r="AB55" i="1"/>
  <c r="AB37" i="1"/>
  <c r="AA37" i="1" s="1"/>
  <c r="AB42" i="1"/>
  <c r="AA47" i="1"/>
  <c r="AB48"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5" i="1"/>
  <c r="AB56" i="1"/>
  <c r="K35" i="19"/>
  <c r="AC25" i="19"/>
  <c r="K45" i="19"/>
  <c r="AI45" i="19"/>
  <c r="W45" i="19"/>
  <c r="Q35" i="19"/>
  <c r="K55" i="19"/>
  <c r="AC15" i="19"/>
  <c r="Q15" i="19"/>
  <c r="AC35" i="19"/>
  <c r="AI35" i="19"/>
  <c r="Q55" i="19"/>
  <c r="AI25" i="19"/>
  <c r="AC53"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7" i="1"/>
  <c r="K44" i="19"/>
  <c r="Q34" i="19"/>
  <c r="W34" i="19"/>
  <c r="K14" i="19"/>
  <c r="W54" i="19"/>
  <c r="K34" i="19"/>
  <c r="AC34" i="19"/>
  <c r="AD55" i="19"/>
  <c r="R15" i="19"/>
  <c r="AJ35" i="19"/>
  <c r="AC54"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6" i="1"/>
  <c r="V14" i="19"/>
  <c r="J54" i="19"/>
  <c r="AH44" i="19"/>
  <c r="V54" i="19"/>
  <c r="J14" i="19"/>
  <c r="AH24" i="19"/>
  <c r="V34" i="19"/>
  <c r="AB44" i="19"/>
  <c r="AB34" i="19"/>
  <c r="P14" i="19"/>
  <c r="V24" i="19"/>
  <c r="AB24" i="19"/>
  <c r="V44" i="19"/>
  <c r="P34" i="19"/>
  <c r="J34" i="19"/>
  <c r="P24" i="19"/>
  <c r="J44" i="19"/>
  <c r="J24" i="19"/>
  <c r="P44" i="19"/>
  <c r="AB19" i="1"/>
  <c r="AA42" i="1"/>
  <c r="AB4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48" i="1"/>
  <c r="AB49" i="1"/>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AC37" i="1"/>
  <c r="M52" i="19"/>
  <c r="S12" i="19"/>
  <c r="M32" i="19"/>
  <c r="S52" i="19"/>
  <c r="Y52" i="19"/>
  <c r="Y42" i="19"/>
  <c r="AK12" i="19"/>
  <c r="S22" i="19"/>
  <c r="AE12" i="19"/>
  <c r="Y22" i="19"/>
  <c r="S32" i="19"/>
  <c r="AK52" i="19"/>
  <c r="M22" i="19"/>
  <c r="AK32" i="19"/>
  <c r="AE22" i="19"/>
  <c r="AE42" i="19"/>
  <c r="Y32" i="19"/>
  <c r="M42" i="19"/>
  <c r="Y12" i="19"/>
  <c r="AE52" i="19"/>
  <c r="AK22" i="19"/>
  <c r="S42" i="19"/>
  <c r="AB33" i="1"/>
  <c r="AA33" i="1" s="1"/>
  <c r="AB25" i="1"/>
  <c r="AA43" i="1" l="1"/>
  <c r="AB44" i="1"/>
  <c r="AA56" i="1"/>
  <c r="AB57" i="1"/>
  <c r="AA57"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14" i="1"/>
  <c r="AA14" i="1" s="1"/>
  <c r="AB15" i="1"/>
  <c r="AA15" i="1" s="1"/>
  <c r="AJ43" i="19"/>
  <c r="AD33" i="19"/>
  <c r="X33" i="19"/>
  <c r="X13" i="19"/>
  <c r="AD43" i="19"/>
  <c r="L43" i="19"/>
  <c r="AC42" i="1"/>
  <c r="X23" i="19"/>
  <c r="R33" i="19"/>
  <c r="R43" i="19"/>
  <c r="AD53" i="19"/>
  <c r="AJ13" i="19"/>
  <c r="R23" i="19"/>
  <c r="R13" i="19"/>
  <c r="AJ53" i="19"/>
  <c r="L33" i="19"/>
  <c r="L23" i="19"/>
  <c r="X43" i="19"/>
  <c r="X53" i="19"/>
  <c r="AD13" i="19"/>
  <c r="L53" i="19"/>
  <c r="L13" i="19"/>
  <c r="AD23" i="19"/>
  <c r="AJ33" i="19"/>
  <c r="AJ23" i="19"/>
  <c r="R53" i="19"/>
  <c r="M55" i="19"/>
  <c r="AK15" i="19"/>
  <c r="AE25" i="19"/>
  <c r="AC55" i="1"/>
  <c r="Y35" i="19"/>
  <c r="M25" i="19"/>
  <c r="S55" i="19"/>
  <c r="S45" i="19"/>
  <c r="S35" i="19"/>
  <c r="M15" i="19"/>
  <c r="AE45" i="19"/>
  <c r="Y15" i="19"/>
  <c r="AK45" i="19"/>
  <c r="AE55" i="19"/>
  <c r="M35" i="19"/>
  <c r="M45" i="19"/>
  <c r="S25" i="19"/>
  <c r="AK35" i="19"/>
  <c r="Y25" i="19"/>
  <c r="AE15" i="19"/>
  <c r="Y45" i="19"/>
  <c r="AE35" i="19"/>
  <c r="AK25" i="19"/>
  <c r="Y55" i="19"/>
  <c r="S15" i="19"/>
  <c r="AK55"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3" i="1"/>
  <c r="AG11" i="19"/>
  <c r="AM41" i="19"/>
  <c r="AA21" i="19"/>
  <c r="AA51" i="19"/>
  <c r="U51" i="19"/>
  <c r="U31" i="19"/>
  <c r="AA11" i="19"/>
  <c r="AG21" i="19"/>
  <c r="O31" i="19"/>
  <c r="AA49" i="1"/>
  <c r="AB50" i="1"/>
  <c r="AA19" i="1"/>
  <c r="AB20" i="1"/>
  <c r="AA20" i="1" s="1"/>
  <c r="AB21" i="1"/>
  <c r="AA21"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5" i="1"/>
  <c r="AB26" i="1"/>
  <c r="L54" i="19"/>
  <c r="AJ14" i="19"/>
  <c r="AD44" i="19"/>
  <c r="X54" i="19"/>
  <c r="R14" i="19"/>
  <c r="AD24" i="19"/>
  <c r="AD34" i="19"/>
  <c r="R54" i="19"/>
  <c r="L34" i="19"/>
  <c r="AJ34" i="19"/>
  <c r="X24" i="19"/>
  <c r="AJ24" i="19"/>
  <c r="X44" i="19"/>
  <c r="R24" i="19"/>
  <c r="AC48" i="1"/>
  <c r="X34" i="19"/>
  <c r="L14" i="19"/>
  <c r="AD14" i="19"/>
  <c r="L44" i="19"/>
  <c r="R44" i="19"/>
  <c r="AD54" i="19"/>
  <c r="X14" i="19"/>
  <c r="AJ44" i="19"/>
  <c r="R34" i="19"/>
  <c r="AJ54" i="19"/>
  <c r="L24" i="19"/>
  <c r="AA26" i="1" l="1"/>
  <c r="AB27" i="1"/>
  <c r="AA27" i="1" s="1"/>
  <c r="AG39" i="19"/>
  <c r="AG29" i="19"/>
  <c r="AM19" i="19"/>
  <c r="O39" i="19"/>
  <c r="AC21"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9"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AA55" i="19"/>
  <c r="O45" i="19"/>
  <c r="AA15" i="19"/>
  <c r="AM55" i="19"/>
  <c r="O55" i="19"/>
  <c r="AG35" i="19"/>
  <c r="AM25" i="19"/>
  <c r="AM35" i="19"/>
  <c r="AA25" i="19"/>
  <c r="AM45" i="19"/>
  <c r="AG25" i="19"/>
  <c r="AA35" i="19"/>
  <c r="O25" i="19"/>
  <c r="U25" i="19"/>
  <c r="AG45" i="19"/>
  <c r="U35" i="19"/>
  <c r="AA45" i="19"/>
  <c r="AM15" i="19"/>
  <c r="U45" i="19"/>
  <c r="O35" i="19"/>
  <c r="O15" i="19"/>
  <c r="AC57" i="1"/>
  <c r="AG15" i="19"/>
  <c r="U15" i="19"/>
  <c r="AG55" i="19"/>
  <c r="U55" i="19"/>
  <c r="AE40" i="19"/>
  <c r="Y30" i="19"/>
  <c r="M20" i="19"/>
  <c r="AC25"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0" i="1"/>
  <c r="T19" i="19"/>
  <c r="AL49" i="19"/>
  <c r="T29" i="19"/>
  <c r="AF29" i="19"/>
  <c r="T18" i="19"/>
  <c r="N48" i="19"/>
  <c r="N8" i="19"/>
  <c r="T28" i="19"/>
  <c r="AF38" i="19"/>
  <c r="Z28" i="19"/>
  <c r="Z18" i="19"/>
  <c r="AF8" i="19"/>
  <c r="AC14"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6"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19" i="1"/>
  <c r="M9" i="19"/>
  <c r="Y29" i="19"/>
  <c r="AA44" i="1"/>
  <c r="AB45" i="1"/>
  <c r="AA45"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0" i="1"/>
  <c r="AB51" i="1"/>
  <c r="AA51" i="1" s="1"/>
  <c r="O8" i="19"/>
  <c r="AA48" i="19"/>
  <c r="AM38" i="19"/>
  <c r="U48" i="19"/>
  <c r="AA18" i="19"/>
  <c r="AG18" i="19"/>
  <c r="AG48" i="19"/>
  <c r="AM18" i="19"/>
  <c r="AA28" i="19"/>
  <c r="AG28" i="19"/>
  <c r="AA8" i="19"/>
  <c r="U18" i="19"/>
  <c r="AG38" i="19"/>
  <c r="U38" i="19"/>
  <c r="AM8" i="19"/>
  <c r="AA38" i="19"/>
  <c r="AM48" i="19"/>
  <c r="U28" i="19"/>
  <c r="O38" i="19"/>
  <c r="U8" i="19"/>
  <c r="AG8" i="19"/>
  <c r="AC15"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3"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1" i="1"/>
  <c r="AA14" i="19"/>
  <c r="O54" i="19"/>
  <c r="U44" i="19"/>
  <c r="U43" i="19"/>
  <c r="U13" i="19"/>
  <c r="AM53" i="19"/>
  <c r="AA53" i="19"/>
  <c r="AA43" i="19"/>
  <c r="O53" i="19"/>
  <c r="O23" i="19"/>
  <c r="O13" i="19"/>
  <c r="AG43" i="19"/>
  <c r="U33" i="19"/>
  <c r="U23" i="19"/>
  <c r="AM13" i="19"/>
  <c r="AM23" i="19"/>
  <c r="AG13" i="19"/>
  <c r="AA23" i="19"/>
  <c r="AG33" i="19"/>
  <c r="AA33" i="19"/>
  <c r="AM33" i="19"/>
  <c r="AA13" i="19"/>
  <c r="AC45"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0" i="1"/>
  <c r="AF53" i="19"/>
  <c r="T43" i="19"/>
  <c r="Z53" i="19"/>
  <c r="N43" i="19"/>
  <c r="T23" i="19"/>
  <c r="AF43" i="19"/>
  <c r="Z13" i="19"/>
  <c r="Z43" i="19"/>
  <c r="AF23" i="19"/>
  <c r="AL13" i="19"/>
  <c r="Z23" i="19"/>
  <c r="AL43" i="19"/>
  <c r="AF13" i="19"/>
  <c r="AL23" i="19"/>
  <c r="N13" i="19"/>
  <c r="T33" i="19"/>
  <c r="AL53" i="19"/>
  <c r="N23" i="19"/>
  <c r="N53" i="19"/>
  <c r="AF33" i="19"/>
  <c r="N33" i="19"/>
  <c r="AC44"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7"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6"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28" i="1" l="1"/>
  <c r="L28" i="1" s="1"/>
  <c r="K16" i="1"/>
  <c r="L16" i="1" s="1"/>
  <c r="K10" i="1"/>
  <c r="L10" i="1" s="1"/>
  <c r="K40" i="1"/>
  <c r="L40" i="1" s="1"/>
  <c r="K34" i="1"/>
  <c r="L34" i="1" s="1"/>
  <c r="K22" i="1"/>
  <c r="L22" i="1" s="1"/>
  <c r="K52" i="1"/>
  <c r="L52" i="1" s="1"/>
  <c r="K46" i="1"/>
  <c r="L46" i="1" s="1"/>
  <c r="Z42" i="18" l="1"/>
  <c r="AF34" i="18"/>
  <c r="N42" i="18"/>
  <c r="AL10" i="18"/>
  <c r="AF26" i="18"/>
  <c r="N18" i="18"/>
  <c r="N26" i="18"/>
  <c r="N10" i="18"/>
  <c r="AF18" i="18"/>
  <c r="AL34" i="18"/>
  <c r="T10" i="18"/>
  <c r="AL42" i="18"/>
  <c r="N34" i="18"/>
  <c r="AF10" i="18"/>
  <c r="N46" i="1"/>
  <c r="T34" i="18"/>
  <c r="Z34" i="18"/>
  <c r="T18" i="18"/>
  <c r="AF42" i="18"/>
  <c r="Z18" i="18"/>
  <c r="AL26" i="18"/>
  <c r="T42" i="18"/>
  <c r="Z10" i="18"/>
  <c r="T26" i="18"/>
  <c r="AL18" i="18"/>
  <c r="Z26" i="18"/>
  <c r="M46" i="1"/>
  <c r="J20" i="18"/>
  <c r="AB28" i="18"/>
  <c r="N52" i="1"/>
  <c r="P44" i="18"/>
  <c r="V20" i="18"/>
  <c r="AB44" i="18"/>
  <c r="P20" i="18"/>
  <c r="V28" i="18"/>
  <c r="AH28" i="18"/>
  <c r="V36" i="18"/>
  <c r="M52" i="1"/>
  <c r="AB52" i="1" s="1"/>
  <c r="AA52" i="1" s="1"/>
  <c r="J28" i="18"/>
  <c r="AB36" i="18"/>
  <c r="AH36" i="18"/>
  <c r="AB20" i="18"/>
  <c r="AH12" i="18"/>
  <c r="J44" i="18"/>
  <c r="P28" i="18"/>
  <c r="P12" i="18"/>
  <c r="AH20" i="18"/>
  <c r="AB12" i="18"/>
  <c r="J12" i="18"/>
  <c r="P36" i="18"/>
  <c r="V44" i="18"/>
  <c r="J36" i="18"/>
  <c r="V12" i="18"/>
  <c r="AH44" i="18"/>
  <c r="L16" i="18"/>
  <c r="L8" i="18"/>
  <c r="R32" i="18"/>
  <c r="R8" i="18"/>
  <c r="AJ32" i="18"/>
  <c r="X40" i="18"/>
  <c r="L24" i="18"/>
  <c r="N22" i="1"/>
  <c r="X8" i="18"/>
  <c r="R40" i="18"/>
  <c r="X16" i="18"/>
  <c r="AJ40" i="18"/>
  <c r="AD40" i="18"/>
  <c r="L32" i="18"/>
  <c r="AD24" i="18"/>
  <c r="X24" i="18"/>
  <c r="AJ8" i="18"/>
  <c r="AJ24" i="18"/>
  <c r="R24" i="18"/>
  <c r="R16" i="18"/>
  <c r="AD16" i="18"/>
  <c r="AJ16" i="18"/>
  <c r="X32" i="18"/>
  <c r="AD8" i="18"/>
  <c r="AD32" i="18"/>
  <c r="M22" i="1"/>
  <c r="AB22" i="1" s="1"/>
  <c r="L40" i="18"/>
  <c r="J18" i="18"/>
  <c r="V34" i="18"/>
  <c r="AH10" i="18"/>
  <c r="M34" i="1"/>
  <c r="AB34" i="1" s="1"/>
  <c r="AA34" i="1" s="1"/>
  <c r="AH18" i="18"/>
  <c r="P18" i="18"/>
  <c r="AB34" i="18"/>
  <c r="P26" i="18"/>
  <c r="P34" i="18"/>
  <c r="AB10" i="18"/>
  <c r="P10" i="18"/>
  <c r="AH26" i="18"/>
  <c r="N34" i="1"/>
  <c r="AB26" i="18"/>
  <c r="J10" i="18"/>
  <c r="AB18" i="18"/>
  <c r="V26" i="18"/>
  <c r="AH34" i="18"/>
  <c r="J26" i="18"/>
  <c r="V10" i="18"/>
  <c r="J34" i="18"/>
  <c r="AH42" i="18"/>
  <c r="V18" i="18"/>
  <c r="V42" i="18"/>
  <c r="AB42" i="18"/>
  <c r="P42" i="18"/>
  <c r="J42" i="18"/>
  <c r="X42" i="18"/>
  <c r="AD10" i="18"/>
  <c r="AJ26" i="18"/>
  <c r="L42" i="18"/>
  <c r="X18" i="18"/>
  <c r="R18" i="18"/>
  <c r="AD42" i="18"/>
  <c r="R26" i="18"/>
  <c r="L18" i="18"/>
  <c r="AJ18" i="18"/>
  <c r="L34" i="18"/>
  <c r="R10" i="18"/>
  <c r="L10" i="18"/>
  <c r="X26" i="18"/>
  <c r="N40" i="1"/>
  <c r="R42" i="18"/>
  <c r="X10" i="18"/>
  <c r="X34" i="18"/>
  <c r="AD18" i="18"/>
  <c r="AD34" i="18"/>
  <c r="AD26" i="18"/>
  <c r="L26" i="18"/>
  <c r="AJ10" i="18"/>
  <c r="AJ34" i="18"/>
  <c r="M40" i="1"/>
  <c r="AB40" i="1" s="1"/>
  <c r="AA40" i="1" s="1"/>
  <c r="R34" i="18"/>
  <c r="AJ42" i="18"/>
  <c r="AL38" i="18"/>
  <c r="T38" i="18"/>
  <c r="AL14" i="18"/>
  <c r="Z14" i="18"/>
  <c r="M10" i="1"/>
  <c r="AB10" i="1" s="1"/>
  <c r="AF22" i="18"/>
  <c r="AF6" i="18"/>
  <c r="N38" i="18"/>
  <c r="AL22" i="18"/>
  <c r="Z30" i="18"/>
  <c r="AF30" i="18"/>
  <c r="T30" i="18"/>
  <c r="AL6" i="18"/>
  <c r="Z38" i="18"/>
  <c r="Z6" i="18"/>
  <c r="AF14" i="18"/>
  <c r="N10" i="1"/>
  <c r="N30" i="18"/>
  <c r="T14" i="18"/>
  <c r="N14" i="18"/>
  <c r="T22" i="18"/>
  <c r="N22" i="18"/>
  <c r="N6" i="18"/>
  <c r="AF38" i="18"/>
  <c r="AL30" i="18"/>
  <c r="T6" i="18"/>
  <c r="Z22" i="18"/>
  <c r="AB40" i="18"/>
  <c r="AB24" i="18"/>
  <c r="J24" i="18"/>
  <c r="P32" i="18"/>
  <c r="P24" i="18"/>
  <c r="AB8" i="18"/>
  <c r="AB16" i="18"/>
  <c r="P40" i="18"/>
  <c r="AH24" i="18"/>
  <c r="V32" i="18"/>
  <c r="AB32" i="18"/>
  <c r="V8" i="18"/>
  <c r="J32" i="18"/>
  <c r="AH16" i="18"/>
  <c r="V16" i="18"/>
  <c r="M16" i="1"/>
  <c r="AB16" i="1" s="1"/>
  <c r="V40" i="18"/>
  <c r="AH40" i="18"/>
  <c r="J40" i="18"/>
  <c r="AH32" i="18"/>
  <c r="J16" i="18"/>
  <c r="V24" i="18"/>
  <c r="N16" i="1"/>
  <c r="P16" i="18"/>
  <c r="AH8" i="18"/>
  <c r="J8" i="18"/>
  <c r="P8" i="18"/>
  <c r="N24" i="18"/>
  <c r="T16" i="18"/>
  <c r="AL16" i="18"/>
  <c r="T24" i="18"/>
  <c r="AL32" i="18"/>
  <c r="Z24" i="18"/>
  <c r="AL40" i="18"/>
  <c r="AF16" i="18"/>
  <c r="AF8" i="18"/>
  <c r="AF40" i="18"/>
  <c r="AL8" i="18"/>
  <c r="N28" i="1"/>
  <c r="Z16" i="18"/>
  <c r="N32" i="18"/>
  <c r="N40" i="18"/>
  <c r="T8" i="18"/>
  <c r="N8" i="18"/>
  <c r="AF24" i="18"/>
  <c r="Z8" i="18"/>
  <c r="M28" i="1"/>
  <c r="AB28" i="1" s="1"/>
  <c r="AB35" i="1" s="1"/>
  <c r="AF32" i="18"/>
  <c r="N16" i="18"/>
  <c r="T40" i="18"/>
  <c r="Z40" i="18"/>
  <c r="AL24" i="18"/>
  <c r="T32" i="18"/>
  <c r="Z32" i="18"/>
  <c r="AA35" i="1" l="1"/>
  <c r="K42" i="19" s="1"/>
  <c r="AB36" i="1"/>
  <c r="AA36" i="1" s="1"/>
  <c r="J12" i="19"/>
  <c r="J22" i="19"/>
  <c r="J42" i="19"/>
  <c r="AH32" i="19"/>
  <c r="V12" i="19"/>
  <c r="AH22" i="19"/>
  <c r="AB52" i="19"/>
  <c r="P32" i="19"/>
  <c r="P12" i="19"/>
  <c r="J32" i="19"/>
  <c r="V22" i="19"/>
  <c r="AH42" i="19"/>
  <c r="AB32" i="19"/>
  <c r="P22" i="19"/>
  <c r="V32" i="19"/>
  <c r="J52" i="19"/>
  <c r="AB42" i="19"/>
  <c r="P42" i="19"/>
  <c r="AC34" i="1"/>
  <c r="AH12" i="19"/>
  <c r="AB12" i="19"/>
  <c r="V42" i="19"/>
  <c r="AH52" i="19"/>
  <c r="P52" i="19"/>
  <c r="V52" i="19"/>
  <c r="AB22" i="19"/>
  <c r="AB29" i="1"/>
  <c r="AA28" i="1"/>
  <c r="AC28" i="1" s="1"/>
  <c r="AH23" i="19"/>
  <c r="AB53" i="19"/>
  <c r="V23" i="19"/>
  <c r="P53" i="19"/>
  <c r="J33" i="19"/>
  <c r="AH53" i="19"/>
  <c r="AB43" i="19"/>
  <c r="AH43" i="19"/>
  <c r="AH33" i="19"/>
  <c r="V13" i="19"/>
  <c r="P43" i="19"/>
  <c r="J43" i="19"/>
  <c r="P33" i="19"/>
  <c r="AB23" i="19"/>
  <c r="AC40" i="1"/>
  <c r="J23" i="19"/>
  <c r="V33" i="19"/>
  <c r="J53" i="19"/>
  <c r="V43" i="19"/>
  <c r="V53" i="19"/>
  <c r="P23" i="19"/>
  <c r="AB33" i="19"/>
  <c r="P13" i="19"/>
  <c r="J13" i="19"/>
  <c r="AB13" i="19"/>
  <c r="AH13" i="19"/>
  <c r="AA10" i="1"/>
  <c r="AB11" i="1"/>
  <c r="AA11" i="1" s="1"/>
  <c r="AA22" i="1"/>
  <c r="AB23" i="1"/>
  <c r="AH25" i="19"/>
  <c r="AB15" i="19"/>
  <c r="P45" i="19"/>
  <c r="J35" i="19"/>
  <c r="J15" i="19"/>
  <c r="AH45" i="19"/>
  <c r="AB35" i="19"/>
  <c r="P25" i="19"/>
  <c r="AH15" i="19"/>
  <c r="J55" i="19"/>
  <c r="AB55" i="19"/>
  <c r="AB25" i="19"/>
  <c r="J45" i="19"/>
  <c r="P35" i="19"/>
  <c r="AH35" i="19"/>
  <c r="P55" i="19"/>
  <c r="V45" i="19"/>
  <c r="AB45" i="19"/>
  <c r="AH55" i="19"/>
  <c r="P15" i="19"/>
  <c r="V15" i="19"/>
  <c r="V25" i="19"/>
  <c r="J25" i="19"/>
  <c r="V35" i="19"/>
  <c r="AC52" i="1"/>
  <c r="V55" i="19"/>
  <c r="AA16" i="1"/>
  <c r="AB17" i="1"/>
  <c r="AI12" i="19" l="1"/>
  <c r="Q12" i="19"/>
  <c r="AI22" i="19"/>
  <c r="W32" i="19"/>
  <c r="AI52" i="19"/>
  <c r="K32" i="19"/>
  <c r="AI32" i="19"/>
  <c r="Q22" i="19"/>
  <c r="AI42" i="19"/>
  <c r="AC42" i="19"/>
  <c r="AC22" i="19"/>
  <c r="AC32" i="19"/>
  <c r="AC12" i="19"/>
  <c r="K12" i="19"/>
  <c r="W22" i="19"/>
  <c r="AC52" i="19"/>
  <c r="AC35" i="1"/>
  <c r="Q32" i="19"/>
  <c r="K52" i="19"/>
  <c r="Q52" i="19"/>
  <c r="W12" i="19"/>
  <c r="W42" i="19"/>
  <c r="W52" i="19"/>
  <c r="Q42" i="19"/>
  <c r="K22" i="19"/>
  <c r="AJ32" i="19"/>
  <c r="L52" i="19"/>
  <c r="X42" i="19"/>
  <c r="R32" i="19"/>
  <c r="R22" i="19"/>
  <c r="AD22" i="19"/>
  <c r="R42" i="19"/>
  <c r="R12" i="19"/>
  <c r="AJ22" i="19"/>
  <c r="AD52" i="19"/>
  <c r="L32" i="19"/>
  <c r="X12" i="19"/>
  <c r="AJ12" i="19"/>
  <c r="X22" i="19"/>
  <c r="AC36" i="1"/>
  <c r="X52" i="19"/>
  <c r="AJ42" i="19"/>
  <c r="X32" i="19"/>
  <c r="AD12" i="19"/>
  <c r="AJ52" i="19"/>
  <c r="L12" i="19"/>
  <c r="AD42" i="19"/>
  <c r="R52" i="19"/>
  <c r="L22" i="19"/>
  <c r="AD32" i="19"/>
  <c r="L42" i="19"/>
  <c r="AA29" i="1"/>
  <c r="AC29" i="1" s="1"/>
  <c r="AB30" i="1"/>
  <c r="AA30" i="1" s="1"/>
  <c r="AC30" i="1" s="1"/>
  <c r="AA23" i="1"/>
  <c r="W10" i="19" s="1"/>
  <c r="AB24" i="1"/>
  <c r="AA24" i="1" s="1"/>
  <c r="AA17" i="1"/>
  <c r="W9" i="19" s="1"/>
  <c r="AB18" i="1"/>
  <c r="AA18" i="1" s="1"/>
  <c r="AB12" i="1"/>
  <c r="AB13" i="1" s="1"/>
  <c r="AA13" i="1" s="1"/>
  <c r="AB39" i="19"/>
  <c r="P19" i="19"/>
  <c r="P39" i="19"/>
  <c r="P29" i="19"/>
  <c r="J39" i="19"/>
  <c r="AH49" i="19"/>
  <c r="V49" i="19"/>
  <c r="AB29" i="19"/>
  <c r="AH39" i="19"/>
  <c r="P9" i="19"/>
  <c r="V19" i="19"/>
  <c r="AB9" i="19"/>
  <c r="AH19" i="19"/>
  <c r="V39" i="19"/>
  <c r="AH29" i="19"/>
  <c r="V9" i="19"/>
  <c r="AB19" i="19"/>
  <c r="AH9" i="19"/>
  <c r="J9" i="19"/>
  <c r="AC16" i="1"/>
  <c r="J29" i="19"/>
  <c r="J49" i="19"/>
  <c r="J19" i="19"/>
  <c r="V29" i="19"/>
  <c r="P49" i="19"/>
  <c r="AB49" i="19"/>
  <c r="J40" i="19"/>
  <c r="J10" i="19"/>
  <c r="V30" i="19"/>
  <c r="AB20" i="19"/>
  <c r="AH20" i="19"/>
  <c r="AH50" i="19"/>
  <c r="J30" i="19"/>
  <c r="AC22" i="1"/>
  <c r="V20" i="19"/>
  <c r="V10" i="19"/>
  <c r="AH10" i="19"/>
  <c r="P20" i="19"/>
  <c r="P10" i="19"/>
  <c r="J20" i="19"/>
  <c r="AB50" i="19"/>
  <c r="P40" i="19"/>
  <c r="J50" i="19"/>
  <c r="V40" i="19"/>
  <c r="AB40" i="19"/>
  <c r="AB30" i="19"/>
  <c r="AB10" i="19"/>
  <c r="P30" i="19"/>
  <c r="V50" i="19"/>
  <c r="P50" i="19"/>
  <c r="AH40" i="19"/>
  <c r="AH30" i="19"/>
  <c r="AH51" i="19"/>
  <c r="AH41" i="19"/>
  <c r="AH11" i="19"/>
  <c r="P41" i="19"/>
  <c r="J41" i="19"/>
  <c r="J21" i="19"/>
  <c r="P11" i="19"/>
  <c r="AH31" i="19"/>
  <c r="J51" i="19"/>
  <c r="AB31" i="19"/>
  <c r="AB41" i="19"/>
  <c r="AB51" i="19"/>
  <c r="P31" i="19"/>
  <c r="P21" i="19"/>
  <c r="V41" i="19"/>
  <c r="V31" i="19"/>
  <c r="AH21" i="19"/>
  <c r="J11" i="19"/>
  <c r="AB11" i="19"/>
  <c r="V11" i="19"/>
  <c r="P51" i="19"/>
  <c r="AB21" i="19"/>
  <c r="V21" i="19"/>
  <c r="J31" i="19"/>
  <c r="V51" i="19"/>
  <c r="AI28" i="19"/>
  <c r="AI38" i="19"/>
  <c r="K8" i="19"/>
  <c r="Q18" i="19"/>
  <c r="Q8" i="19"/>
  <c r="W48" i="19"/>
  <c r="W28" i="19"/>
  <c r="K28" i="19"/>
  <c r="W18" i="19"/>
  <c r="Q28" i="19"/>
  <c r="W8" i="19"/>
  <c r="AC11" i="1"/>
  <c r="K38" i="19"/>
  <c r="AC28" i="19"/>
  <c r="AC8" i="19"/>
  <c r="AI18" i="19"/>
  <c r="Q48" i="19"/>
  <c r="K18" i="19"/>
  <c r="AC18" i="19"/>
  <c r="AI8" i="19"/>
  <c r="K48" i="19"/>
  <c r="AC38" i="19"/>
  <c r="AC48" i="19"/>
  <c r="AI48" i="19"/>
  <c r="W38" i="19"/>
  <c r="Q38" i="19"/>
  <c r="AH38" i="19"/>
  <c r="J18" i="19"/>
  <c r="J48" i="19"/>
  <c r="V8" i="19"/>
  <c r="J38" i="19"/>
  <c r="P28" i="19"/>
  <c r="P8" i="19"/>
  <c r="AH28" i="19"/>
  <c r="AB28" i="19"/>
  <c r="AB48" i="19"/>
  <c r="V38" i="19"/>
  <c r="P48" i="19"/>
  <c r="AH48" i="19"/>
  <c r="AB8" i="19"/>
  <c r="V48" i="19"/>
  <c r="V28" i="19"/>
  <c r="AB38" i="19"/>
  <c r="AC10" i="1"/>
  <c r="AB18" i="19"/>
  <c r="AH8" i="19"/>
  <c r="AH18" i="19"/>
  <c r="V18" i="19"/>
  <c r="P18" i="19"/>
  <c r="P38" i="19"/>
  <c r="J8" i="19"/>
  <c r="J28" i="19"/>
  <c r="K50" i="19" l="1"/>
  <c r="W30" i="19"/>
  <c r="W40" i="19"/>
  <c r="Q20" i="19"/>
  <c r="AC20" i="19"/>
  <c r="K20" i="19"/>
  <c r="K30" i="19"/>
  <c r="Q50" i="19"/>
  <c r="Q30" i="19"/>
  <c r="AI40" i="19"/>
  <c r="AI20" i="19"/>
  <c r="AI30" i="19"/>
  <c r="AC10" i="19"/>
  <c r="K10" i="19"/>
  <c r="AC23" i="1"/>
  <c r="W20" i="19"/>
  <c r="W50" i="19"/>
  <c r="Q40" i="19"/>
  <c r="AC50" i="19"/>
  <c r="AC40" i="19"/>
  <c r="AI50" i="19"/>
  <c r="AC30" i="19"/>
  <c r="K40" i="19"/>
  <c r="AI10" i="19"/>
  <c r="Q10" i="19"/>
  <c r="R40" i="19"/>
  <c r="R50" i="19"/>
  <c r="L10" i="19"/>
  <c r="AD30" i="19"/>
  <c r="AJ50" i="19"/>
  <c r="X50" i="19"/>
  <c r="L30" i="19"/>
  <c r="AC24" i="1"/>
  <c r="R10" i="19"/>
  <c r="AD10" i="19"/>
  <c r="X10" i="19"/>
  <c r="L50" i="19"/>
  <c r="R20" i="19"/>
  <c r="X30" i="19"/>
  <c r="X20" i="19"/>
  <c r="L20" i="19"/>
  <c r="X40" i="19"/>
  <c r="R30" i="19"/>
  <c r="AJ20" i="19"/>
  <c r="AD50" i="19"/>
  <c r="AD20" i="19"/>
  <c r="AD40" i="19"/>
  <c r="AJ10" i="19"/>
  <c r="AJ40" i="19"/>
  <c r="AJ30" i="19"/>
  <c r="L40" i="19"/>
  <c r="K29" i="19"/>
  <c r="Q19" i="19"/>
  <c r="W19" i="19"/>
  <c r="AI29" i="19"/>
  <c r="Q49" i="19"/>
  <c r="K19" i="19"/>
  <c r="W29" i="19"/>
  <c r="AC49" i="19"/>
  <c r="AC29" i="19"/>
  <c r="K49" i="19"/>
  <c r="AC19" i="19"/>
  <c r="AC39" i="19"/>
  <c r="Q39" i="19"/>
  <c r="AI9" i="19"/>
  <c r="Q9" i="19"/>
  <c r="AI39" i="19"/>
  <c r="K9" i="19"/>
  <c r="AC17" i="1"/>
  <c r="AI49" i="19"/>
  <c r="Q29" i="19"/>
  <c r="AI19" i="19"/>
  <c r="K39" i="19"/>
  <c r="W49" i="19"/>
  <c r="AC9" i="19"/>
  <c r="W39" i="19"/>
  <c r="R39" i="19"/>
  <c r="AD39" i="19"/>
  <c r="X29" i="19"/>
  <c r="AD9" i="19"/>
  <c r="AJ39" i="19"/>
  <c r="AD49" i="19"/>
  <c r="X49" i="19"/>
  <c r="L9" i="19"/>
  <c r="AJ19" i="19"/>
  <c r="R9" i="19"/>
  <c r="R29" i="19"/>
  <c r="X39" i="19"/>
  <c r="AJ49" i="19"/>
  <c r="AJ29" i="19"/>
  <c r="L19" i="19"/>
  <c r="L29" i="19"/>
  <c r="AD19" i="19"/>
  <c r="X9" i="19"/>
  <c r="X19" i="19"/>
  <c r="AC18" i="1"/>
  <c r="R19" i="19"/>
  <c r="AJ9" i="19"/>
  <c r="R49" i="19"/>
  <c r="AD29" i="19"/>
  <c r="L49" i="19"/>
  <c r="L39" i="19"/>
  <c r="AA12" i="1"/>
  <c r="L28" i="19" s="1"/>
  <c r="S48" i="19"/>
  <c r="AE18" i="19"/>
  <c r="S28" i="19"/>
  <c r="M28" i="19"/>
  <c r="S38" i="19"/>
  <c r="Y38" i="19"/>
  <c r="AE28" i="19"/>
  <c r="AE38" i="19"/>
  <c r="M18" i="19"/>
  <c r="S18" i="19"/>
  <c r="M38" i="19"/>
  <c r="Y8" i="19"/>
  <c r="Y28" i="19"/>
  <c r="AC13" i="1"/>
  <c r="AE8" i="19"/>
  <c r="AK48" i="19"/>
  <c r="Y48" i="19"/>
  <c r="AK38" i="19"/>
  <c r="AE48" i="19"/>
  <c r="S8" i="19"/>
  <c r="AK18" i="19"/>
  <c r="M8" i="19"/>
  <c r="Y18" i="19"/>
  <c r="M48" i="19"/>
  <c r="AK28" i="19"/>
  <c r="AK8" i="19"/>
  <c r="AI41" i="19"/>
  <c r="K51" i="19"/>
  <c r="W11" i="19"/>
  <c r="K21" i="19"/>
  <c r="Q51" i="19"/>
  <c r="AI31" i="19"/>
  <c r="W21" i="19"/>
  <c r="Q41" i="19"/>
  <c r="AC11" i="19"/>
  <c r="K11" i="19"/>
  <c r="AI51" i="19"/>
  <c r="AC31" i="19"/>
  <c r="W41" i="19"/>
  <c r="AC51" i="19"/>
  <c r="K41" i="19"/>
  <c r="W31" i="19"/>
  <c r="AI11" i="19"/>
  <c r="Q11" i="19"/>
  <c r="AC41" i="19"/>
  <c r="AI21" i="19"/>
  <c r="AC21" i="19"/>
  <c r="Q31" i="19"/>
  <c r="K31" i="19"/>
  <c r="W51" i="19"/>
  <c r="Q21" i="19"/>
  <c r="AB31" i="1"/>
  <c r="AJ8" i="19" l="1"/>
  <c r="X8" i="19"/>
  <c r="R18" i="19"/>
  <c r="X18" i="19"/>
  <c r="L48" i="19"/>
  <c r="AD18" i="19"/>
  <c r="L18" i="19"/>
  <c r="AD28" i="19"/>
  <c r="R8" i="19"/>
  <c r="X48" i="19"/>
  <c r="R28" i="19"/>
  <c r="AJ48" i="19"/>
  <c r="AJ28" i="19"/>
  <c r="X38" i="19"/>
  <c r="R38" i="19"/>
  <c r="L38" i="19"/>
  <c r="AD38" i="19"/>
  <c r="AJ38" i="19"/>
  <c r="L8" i="19"/>
  <c r="AC12" i="1"/>
  <c r="AD48" i="19"/>
  <c r="R48" i="19"/>
  <c r="AD8" i="19"/>
  <c r="X28" i="19"/>
  <c r="AJ18" i="19"/>
  <c r="AA31" i="1"/>
  <c r="AB32" i="1"/>
  <c r="AA32" i="1" s="1"/>
  <c r="AD11" i="19"/>
  <c r="AD21" i="19"/>
  <c r="L21" i="19"/>
  <c r="L51" i="19"/>
  <c r="L11" i="19"/>
  <c r="X51" i="19"/>
  <c r="X21" i="19"/>
  <c r="R11" i="19"/>
  <c r="AJ21" i="19"/>
  <c r="AD51" i="19"/>
  <c r="L41" i="19"/>
  <c r="R31" i="19"/>
  <c r="AJ41" i="19"/>
  <c r="L31" i="19"/>
  <c r="R41" i="19"/>
  <c r="AD31" i="19"/>
  <c r="R51" i="19"/>
  <c r="R21" i="19"/>
  <c r="X31" i="19"/>
  <c r="AD41" i="19"/>
  <c r="X11" i="19"/>
  <c r="AJ11" i="19"/>
  <c r="X41" i="19"/>
  <c r="AJ51" i="19"/>
  <c r="AJ31" i="19"/>
  <c r="Z31" i="19" l="1"/>
  <c r="T41" i="19"/>
  <c r="N21" i="19"/>
  <c r="AF41" i="19"/>
  <c r="N31" i="19"/>
  <c r="AL11" i="19"/>
  <c r="T31" i="19"/>
  <c r="T11" i="19"/>
  <c r="AF11" i="19"/>
  <c r="T21" i="19"/>
  <c r="AL41" i="19"/>
  <c r="AC32" i="1"/>
  <c r="AL21" i="19"/>
  <c r="Z11" i="19"/>
  <c r="Z21" i="19"/>
  <c r="AL31" i="19"/>
  <c r="AF31" i="19"/>
  <c r="AL51" i="19"/>
  <c r="T51" i="19"/>
  <c r="N11" i="19"/>
  <c r="N51" i="19"/>
  <c r="AF51" i="19"/>
  <c r="Z41" i="19"/>
  <c r="N41" i="19"/>
  <c r="AF21" i="19"/>
  <c r="Z51" i="19"/>
  <c r="Y11" i="19"/>
  <c r="M31" i="19"/>
  <c r="AE41" i="19"/>
  <c r="AE21" i="19"/>
  <c r="S51" i="19"/>
  <c r="AE51" i="19"/>
  <c r="AE31" i="19"/>
  <c r="S41" i="19"/>
  <c r="AK41" i="19"/>
  <c r="AK31" i="19"/>
  <c r="AE11" i="19"/>
  <c r="AK51" i="19"/>
  <c r="S11" i="19"/>
  <c r="Y41" i="19"/>
  <c r="M21" i="19"/>
  <c r="M41" i="19"/>
  <c r="AK21" i="19"/>
  <c r="Y21" i="19"/>
  <c r="AC31" i="1"/>
  <c r="M11" i="19"/>
  <c r="S31" i="19"/>
  <c r="AK11" i="19"/>
  <c r="M51" i="19"/>
  <c r="Y31" i="19"/>
  <c r="Y51" i="19"/>
  <c r="S21"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<sst xmlns="http://schemas.openxmlformats.org/spreadsheetml/2006/main" count="470" uniqueCount="251">
  <si>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</si>
  <si>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</si>
  <si>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</si>
  <si>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</si>
  <si>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</si>
  <si>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</si>
  <si>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</si>
  <si>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</si>
  <si>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</si>
  <si>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</si>
  <si>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</si>
  <si>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</si>
  <si>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</si>
  <si>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</si>
  <si>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</si>
  <si>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</si>
  <si>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</si>
  <si>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</si>
  <si>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</si>
  <si>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</si>
  <si>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</si>
  <si>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</si>
  <si>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</si>
  <si>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</si>
  <si>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</si>
  <si>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</si>
  <si>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</si>
  <si>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</si>
  <si>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</si>
  <si>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</si>
  <si>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</si>
  <si>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</si>
  <si>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</si>
  <si>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</si>
  <si>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</si>
  <si>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</si>
  <si>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</si>
  <si>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</si>
  <si>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</si>
  <si>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</si>
  <si>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</si>
  <si>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</si>
  <si>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</si>
  <si>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</si>
  <si>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</si>
  <si>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</si>
  <si>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</si>
  <si>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</si>
  <si>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</si>
  <si>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</si>
  <si>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</si>
  <si>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</si>
  <si>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</si>
  <si>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</si>
  <si>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</si>
  <si>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</si>
  <si>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</si>
  <si>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</si>
  <si>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</si>
  <si>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</si>
  <si>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</si>
  <si>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</si>
  <si>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</si>
  <si>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</si>
  <si>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</si>
  <si>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</si>
  <si>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</si>
  <si>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</si>
  <si>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</si>
  <si>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</si>
  <si>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</si>
  <si>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</si>
  <si>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</si>
  <si>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</si>
  <si>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</si>
  <si>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</si>
  <si>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</si>
  <si>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</si>
  <si>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</si>
  <si>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</si>
  <si>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</si>
  <si>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</si>
  <si>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</si>
  <si>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</si>
  <si>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</si>
  <si>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</si>
  <si>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</si>
  <si>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</si>
  <si>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</si>
  <si>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</si>
  <si>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</si>
  <si>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</si>
  <si>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</si>
  <si>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</si>
  <si>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</si>
  <si>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</si>
  <si>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</si>
  <si>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</si>
  <si>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</si>
  <si>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</si>
  <si>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</si>
  <si>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</si>
  <si>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</si>
  <si>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</si>
  <si>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</si>
  <si>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</si>
  <si>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</si>
  <si>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</si>
  <si>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</si>
  <si>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</si>
  <si>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</si>
  <si>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</si>
  <si>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</si>
  <si>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</si>
  <si>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</si>
  <si>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</si>
  <si>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</si>
  <si>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</si>
  <si>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</si>
  <si>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</si>
  <si>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</si>
  <si>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</si>
  <si>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</si>
  <si>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</si>
  <si>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</si>
  <si>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</si>
  <si>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</si>
  <si>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</si>
  <si>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</si>
  <si>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</si>
  <si>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</si>
  <si>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</si>
  <si>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</si>
  <si>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</si>
  <si>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</si>
  <si>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</si>
  <si>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</si>
  <si>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</si>
  <si>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</si>
  <si>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</si>
  <si>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</si>
  <si>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</si>
  <si>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</si>
  <si>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</si>
  <si>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</si>
  <si>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</si>
  <si>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</si>
  <si>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</si>
  <si>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</si>
  <si>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</si>
  <si>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</si>
  <si>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</si>
  <si>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</si>
  <si>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</si>
  <si>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</si>
  <si>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</si>
  <si>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</si>
  <si>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</si>
  <si>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</si>
  <si>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</si>
  <si>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</si>
  <si>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</si>
  <si>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</si>
  <si>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</si>
  <si>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</si>
  <si>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</si>
  <si>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</si>
  <si>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</si>
  <si>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</si>
  <si>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</si>
  <si>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</si>
  <si>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</si>
  <si>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</si>
  <si>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</si>
  <si>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</si>
  <si>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</si>
  <si>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</si>
  <si>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</si>
  <si>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</si>
  <si>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</si>
  <si>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</si>
  <si>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</si>
  <si>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</si>
  <si>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</si>
  <si>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</si>
  <si>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</si>
  <si>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</si>
  <si>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</si>
  <si>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</si>
  <si>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</si>
  <si>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</si>
  <si>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</si>
  <si>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</si>
  <si>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</si>
  <si>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</si>
  <si>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</si>
  <si>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</si>
  <si>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</si>
  <si>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</si>
  <si>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</si>
  <si>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</si>
  <si>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</si>
  <si>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</si>
  <si>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</si>
  <si>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</si>
  <si>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</si>
  <si>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</si>
  <si>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</si>
  <si>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</si>
  <si>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</si>
  <si>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</si>
  <si>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</si>
  <si>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La actividad que conlleva el riesgo se ejecuta como máximo 2 veces por año</t>
  </si>
  <si>
    <t>La actividad que conlleva el riesgo se ejecuta de 4 a 24 veces por año</t>
  </si>
  <si>
    <t>Entre 10 y 50 SMLMV</t>
  </si>
  <si>
    <t>Gestión Jurídica</t>
  </si>
  <si>
    <t xml:space="preserve">Posibilidad de afectación económica y reputacional por el aumento de intereses y la pérdida de la imagen institucional, debido al no pago de las obligaciones adquiridas por el ICTM  </t>
  </si>
  <si>
    <t xml:space="preserve">Prestar acompañarmiento y asesoría en los procesos contractuales y ejercer la defensa judicial del Instituto de Cultura y Turismo, así como la revisión y aprobación de los actos administrativos. </t>
  </si>
  <si>
    <t xml:space="preserve">Incluye los procedimientos necesarios para ejecutar acciones legales, judiciales, jurídicas, disciplinarias y contractuales que se presentan en el Instituto de Cultura y Turismo de Manizales </t>
  </si>
  <si>
    <t>Aumento de intereses y la pérdida de la imagen institucional</t>
  </si>
  <si>
    <t xml:space="preserve">No pago de las obligaciones adquiridas por el ICTM  </t>
  </si>
  <si>
    <t xml:space="preserve">El Comité de Contratación a través de sus sesiones, validan los contratos a realizar y la disponbiilidad de los recursos para suscribirlos </t>
  </si>
  <si>
    <t xml:space="preserve">El Profesional Universitario del Área Financiera viabiliza la suscripción de la obligación a través de la aprobación de la solicitud de expedición de los certificados de disponbiilidad presupuestal </t>
  </si>
  <si>
    <t xml:space="preserve">El Profesional Universitario del Área Financiera aprueba el registro presupuestal una vez sucrita la obligación, garantizando la disponibilidad del recurso para el cumplimiento de la obligación </t>
  </si>
  <si>
    <t xml:space="preserve">El Profesional Universitario de Control Interno realiza seguimiento a las obligaciones suscritas por el ICTM a través de las auditorías internas realizadas a la contratación de la entidad  </t>
  </si>
  <si>
    <t xml:space="preserve">Fallo en contra de procesos judiciales </t>
  </si>
  <si>
    <t>Posibilidad de afectación económica por el fallo en contra de procesos judiciales causados por el incumplimiento de términos en alguna de las etapas procesales</t>
  </si>
  <si>
    <t>Incumplimiento de términos en alguna de las etapas procesales</t>
  </si>
  <si>
    <t xml:space="preserve">El Comité de Conciliación sesiona dos veces al mes, realizando seguimiento a los procesos judiciales activos del ICTM con el fin de verificar el cumplimiento de términos de las etapas procesales </t>
  </si>
  <si>
    <t xml:space="preserve">La Secretaría General maneja un cuadro de control en el cual se registran todos los procesos en contra del ICTM y se consignan todas las etapas y el estado actual de las mismas </t>
  </si>
  <si>
    <t xml:space="preserve">Legalización de un contrato sin el lleno de requisitos legales </t>
  </si>
  <si>
    <t>Exigibilidades adicionales ajustadas a un determinado proponente</t>
  </si>
  <si>
    <t xml:space="preserve">Pérdida de la confianza ciudadana </t>
  </si>
  <si>
    <t xml:space="preserve">Debido a favorecer intereses ajenos al bien común al no manifestar y/o declarar un conflicto de interés </t>
  </si>
  <si>
    <t xml:space="preserve">Posibilidad de afectación reputacional por la pérdida de la confianza ciudadana debido a favorecer intereses ajenos al bien común al no manifestar y/o declarar un conflicto de interés </t>
  </si>
  <si>
    <t xml:space="preserve">El instituto de cultura y turismo tiene incluido en su Ccódigo de Integridad el procedimiento para manifestar la vivencia de un conflicto de interés, propio o de un tercero, que debe ser aplicado por los funcionarios de la entidad </t>
  </si>
  <si>
    <t xml:space="preserve">La Secretaría General se encarga de que los funcionarios y contratistas de la entidad presenten la declaración de conflictos de interés de acuerdo a la Ley 2013 de 2018 </t>
  </si>
  <si>
    <t xml:space="preserve">El Secretario General del ICTM realiza mesa de trabajo con el equipo jurídico de manera mensual para verificar el estado de los procesos juciales en contra del ICTM </t>
  </si>
  <si>
    <t xml:space="preserve">Detrimento patrimonial </t>
  </si>
  <si>
    <t xml:space="preserve">Debido al incumplimiento en las obligaciones contractuales </t>
  </si>
  <si>
    <t xml:space="preserve">Posibilidad de afectación económica y reputacional por un detrimento patrimonial causado por el incumplimiento en las obligaciones contractuales </t>
  </si>
  <si>
    <t xml:space="preserve">El abogado asignado de cada proceso al momento de revisar los estudios previos para la contratación, especifica la necesidad de la constitución de pólizas para amparar al ICTM en la ejecución de la contratación </t>
  </si>
  <si>
    <t xml:space="preserve">La Secretaría General realiza la contratación de abogados externos para el apoyo en la contratación del ICTM y la revisión de estudios previos y documentación precontractual </t>
  </si>
  <si>
    <t xml:space="preserve">El supervisor de cada contrato, realiza seguimiento permanente al cumplimiento del contrato y de sus obligaciones, para garantizar la ejecución del mismo </t>
  </si>
  <si>
    <t xml:space="preserve">Posibilidad de afectación económica y reputacional por la pérdida de imagen institucional y/o la imposición de multas y sanciones relacionadas con la legalización de un contrato sin el lleno de requisitos legales </t>
  </si>
  <si>
    <t>Pérdida de imagen institucional y/o la imposición de multas y sanciones</t>
  </si>
  <si>
    <t xml:space="preserve">La Secretaría General mantiene vigente el formato de lista de chequeo de documentos para personas naturales y jurídicas que debe aplicarse al momento de solicitar la elaboración de un contrato y que se revisa con la documentación para su legalización </t>
  </si>
  <si>
    <t xml:space="preserve">La Secretaría General realiza la contratación de abogados externos para el apoyo en la contratación del ICTM y la revisión de documentos precontractuales </t>
  </si>
  <si>
    <t xml:space="preserve">La Secretaría General cuenta con un Manual de Contratación que sirve como guía para la elaboración y ejecución de los contratos </t>
  </si>
  <si>
    <t>Posibilidad de afectación económica y reputacional por la pérdida de la imagen institucional y/o la imposición de multas y sanciones debido a realizar exigencias adicionales ajustadas a un determinado proponente</t>
  </si>
  <si>
    <t xml:space="preserve">El Instituto de Cultura y Turismo de Manizales realiza capacitaciones a sus funcionarios y supervisores de contratación en el Código de Integridad de la entidad y el manual de supervisión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</si>
</sst>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1"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4" fillId="13" borderId="18" xfId="0" applyFont="1" applyFill="1" applyBorder="1" applyAlignment="1" applyProtection="1">
      <alignment horizontal="center" wrapText="1" readingOrder="1"/>
      <protection hidden="1"/>
    </xf>
    <xf numFmtId="0" fontId="0" fillId="3" borderId="0" xfId="0" applyFill="1"/>
    <xf numFmtId="0" fontId="50" fillId="3" borderId="50" xfId="2" applyFont="1" applyFill="1" applyBorder="1"/>
    <xf numFmtId="0" fontId="50" fillId="3" borderId="51" xfId="2" applyFont="1" applyFill="1" applyBorder="1"/>
    <xf numFmtId="0" fontId="50" fillId="3" borderId="52"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42" xfId="0" applyNumberFormat="1"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9" fillId="3" borderId="32" xfId="0" applyFont="1" applyFill="1" applyBorder="1" applyAlignment="1">
      <alignment horizontal="justify" vertical="center" wrapText="1" readingOrder="1"/>
    </xf>
    <xf numFmtId="9" fontId="38" fillId="3" borderId="37" xfId="0" applyNumberFormat="1" applyFont="1" applyFill="1" applyBorder="1" applyAlignment="1">
      <alignment horizontal="center" vertical="center" wrapText="1" readingOrder="1"/>
    </xf>
    <xf numFmtId="0" fontId="39" fillId="3" borderId="37"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9" fillId="3" borderId="39" xfId="0" applyFont="1" applyFill="1" applyBorder="1" applyAlignment="1">
      <alignment horizontal="justify" vertical="center" wrapText="1" readingOrder="1"/>
    </xf>
    <xf numFmtId="0" fontId="39" fillId="3" borderId="40" xfId="0" applyFont="1" applyFill="1" applyBorder="1" applyAlignment="1">
      <alignment horizontal="center" vertical="center" wrapText="1" readingOrder="1"/>
    </xf>
    <xf numFmtId="0" fontId="47" fillId="3" borderId="0" xfId="0" applyFont="1" applyFill="1"/>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3"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4" xfId="2" applyFont="1" applyFill="1" applyBorder="1"/>
    <xf numFmtId="0" fontId="50" fillId="3" borderId="15" xfId="2" applyFont="1" applyFill="1" applyBorder="1"/>
    <xf numFmtId="0" fontId="50" fillId="3" borderId="17" xfId="2" applyFont="1" applyFill="1" applyBorder="1"/>
    <xf numFmtId="0" fontId="50" fillId="3" borderId="16"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3"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4" xfId="2" quotePrefix="1" applyFont="1" applyFill="1" applyBorder="1" applyAlignment="1">
      <alignment horizontal="left" vertical="top" wrapText="1"/>
    </xf>
    <xf numFmtId="0" fontId="10" fillId="6" borderId="34" xfId="0" applyFont="1" applyFill="1" applyBorder="1" applyAlignment="1">
      <alignment horizontal="center" vertical="center" wrapText="1" readingOrder="1"/>
    </xf>
    <xf numFmtId="0" fontId="10" fillId="6" borderId="74" xfId="0" applyFont="1" applyFill="1" applyBorder="1" applyAlignment="1">
      <alignment horizontal="center" vertical="center" wrapText="1" readingOrder="1"/>
    </xf>
    <xf numFmtId="9" fontId="11" fillId="0" borderId="75" xfId="0" applyNumberFormat="1" applyFont="1" applyBorder="1" applyAlignment="1">
      <alignment horizontal="center" vertical="center" wrapText="1" readingOrder="1"/>
    </xf>
    <xf numFmtId="9" fontId="11" fillId="0" borderId="76" xfId="0" applyNumberFormat="1" applyFont="1" applyBorder="1" applyAlignment="1">
      <alignment horizontal="center" vertical="center" wrapText="1" readingOrder="1"/>
    </xf>
    <xf numFmtId="9" fontId="11" fillId="0" borderId="77" xfId="0" applyNumberFormat="1" applyFont="1" applyBorder="1" applyAlignment="1">
      <alignment horizontal="center" vertical="center" wrapText="1" readingOrder="1"/>
    </xf>
    <xf numFmtId="0" fontId="11" fillId="0" borderId="48" xfId="0" applyFont="1" applyBorder="1" applyAlignment="1">
      <alignment horizontal="justify" vertical="center" wrapText="1" readingOrder="1"/>
    </xf>
    <xf numFmtId="0" fontId="11" fillId="0" borderId="78" xfId="0" applyFont="1" applyBorder="1" applyAlignment="1">
      <alignment horizontal="justify" vertical="center" wrapText="1" readingOrder="1"/>
    </xf>
    <xf numFmtId="0" fontId="11" fillId="0" borderId="79" xfId="0" applyFont="1" applyBorder="1" applyAlignment="1">
      <alignment horizontal="justify" vertical="center" wrapText="1" readingOrder="1"/>
    </xf>
    <xf numFmtId="0" fontId="11" fillId="5" borderId="75" xfId="0" applyFont="1" applyFill="1" applyBorder="1" applyAlignment="1">
      <alignment horizontal="center" vertical="center" wrapText="1" readingOrder="1"/>
    </xf>
    <xf numFmtId="0" fontId="11" fillId="7" borderId="76" xfId="0" applyFont="1" applyFill="1" applyBorder="1" applyAlignment="1">
      <alignment horizontal="center" vertical="center" wrapText="1" readingOrder="1"/>
    </xf>
    <xf numFmtId="0" fontId="11" fillId="4" borderId="76" xfId="0" applyFont="1" applyFill="1" applyBorder="1" applyAlignment="1">
      <alignment horizontal="center" vertical="center" wrapText="1" readingOrder="1"/>
    </xf>
    <xf numFmtId="0" fontId="11" fillId="8" borderId="76" xfId="0" applyFont="1" applyFill="1" applyBorder="1" applyAlignment="1">
      <alignment horizontal="center" vertical="center" wrapText="1" readingOrder="1"/>
    </xf>
    <xf numFmtId="0" fontId="12" fillId="9" borderId="77" xfId="0" applyFont="1" applyFill="1" applyBorder="1" applyAlignment="1">
      <alignment horizontal="center" vertical="center" wrapText="1" readingOrder="1"/>
    </xf>
    <xf numFmtId="0" fontId="34" fillId="5" borderId="47" xfId="0" applyFont="1" applyFill="1" applyBorder="1" applyAlignment="1">
      <alignment horizontal="center" vertical="center" wrapText="1" readingOrder="1"/>
    </xf>
    <xf numFmtId="0" fontId="34" fillId="7" borderId="80" xfId="0" applyFont="1" applyFill="1" applyBorder="1" applyAlignment="1">
      <alignment horizontal="center" vertical="center" wrapText="1" readingOrder="1"/>
    </xf>
    <xf numFmtId="0" fontId="34" fillId="4" borderId="80" xfId="0" applyFont="1" applyFill="1" applyBorder="1" applyAlignment="1">
      <alignment horizontal="center" vertical="center" wrapText="1" readingOrder="1"/>
    </xf>
    <xf numFmtId="0" fontId="34" fillId="8" borderId="80" xfId="0" applyFont="1" applyFill="1" applyBorder="1" applyAlignment="1">
      <alignment horizontal="center" vertical="center" wrapText="1" readingOrder="1"/>
    </xf>
    <xf numFmtId="0" fontId="35" fillId="9" borderId="81" xfId="0" applyFont="1" applyFill="1" applyBorder="1" applyAlignment="1">
      <alignment horizontal="center" vertical="center" wrapText="1" readingOrder="1"/>
    </xf>
    <xf numFmtId="0" fontId="34" fillId="0" borderId="76" xfId="0" applyFont="1" applyBorder="1" applyAlignment="1">
      <alignment horizontal="center" vertical="center" wrapText="1" readingOrder="1"/>
    </xf>
    <xf numFmtId="0" fontId="34" fillId="0" borderId="77" xfId="0" applyFont="1" applyBorder="1" applyAlignment="1">
      <alignment horizontal="center" vertical="center" wrapText="1" readingOrder="1"/>
    </xf>
    <xf numFmtId="0" fontId="34" fillId="0" borderId="76" xfId="0" applyFont="1" applyBorder="1" applyAlignment="1">
      <alignment horizontal="justify" vertical="center" wrapText="1" readingOrder="1"/>
    </xf>
    <xf numFmtId="0" fontId="34" fillId="0" borderId="77" xfId="0" applyFont="1" applyBorder="1" applyAlignment="1">
      <alignment horizontal="justify" vertical="center" wrapText="1" readingOrder="1"/>
    </xf>
    <xf numFmtId="0" fontId="34" fillId="0" borderId="82" xfId="0" applyFont="1" applyBorder="1" applyAlignment="1">
      <alignment horizontal="center" vertical="center" wrapText="1" readingOrder="1"/>
    </xf>
    <xf numFmtId="0" fontId="34" fillId="0" borderId="82" xfId="0" applyFont="1" applyBorder="1" applyAlignment="1">
      <alignment horizontal="justify" vertical="center" wrapText="1" readingOrder="1"/>
    </xf>
    <xf numFmtId="0" fontId="33" fillId="6" borderId="74" xfId="0" applyFont="1" applyFill="1" applyBorder="1" applyAlignment="1">
      <alignment horizontal="center" vertical="center" wrapText="1" readingOrder="1"/>
    </xf>
    <xf numFmtId="164" fontId="1" fillId="0" borderId="2" xfId="1" applyNumberFormat="1" applyFont="1" applyFill="1" applyBorder="1" applyAlignment="1">
      <alignment horizontal="center" vertical="center"/>
    </xf>
    <xf numFmtId="0" fontId="59"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wrapText="1"/>
      <protection locked="0"/>
    </xf>
    <xf numFmtId="0" fontId="56" fillId="3" borderId="63" xfId="2" applyFont="1" applyFill="1" applyBorder="1" applyAlignment="1">
      <alignment horizontal="justify" vertical="center" wrapText="1"/>
    </xf>
    <xf numFmtId="0" fontId="56" fillId="3" borderId="64"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57" xfId="3" applyFont="1" applyFill="1" applyBorder="1" applyAlignment="1">
      <alignment horizontal="left" vertical="top" wrapText="1" readingOrder="1"/>
    </xf>
    <xf numFmtId="0" fontId="55" fillId="3" borderId="58" xfId="3" applyFont="1" applyFill="1" applyBorder="1" applyAlignment="1">
      <alignment horizontal="left" vertical="top" wrapText="1" readingOrder="1"/>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1" xfId="0" applyFont="1" applyFill="1" applyBorder="1" applyAlignment="1">
      <alignment horizontal="left" vertical="center" wrapText="1"/>
    </xf>
    <xf numFmtId="0" fontId="55" fillId="3" borderId="62" xfId="0" applyFont="1" applyFill="1" applyBorder="1" applyAlignment="1">
      <alignment horizontal="left" vertical="center" wrapText="1"/>
    </xf>
    <xf numFmtId="0" fontId="50" fillId="3" borderId="13"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6" fillId="3" borderId="65" xfId="0" applyFont="1" applyFill="1" applyBorder="1" applyAlignment="1">
      <alignment horizontal="justify" vertical="center" wrapText="1"/>
    </xf>
    <xf numFmtId="0" fontId="56" fillId="3" borderId="66" xfId="0" applyFont="1" applyFill="1" applyBorder="1" applyAlignment="1">
      <alignment horizontal="justify" vertical="center" wrapText="1"/>
    </xf>
    <xf numFmtId="0" fontId="51" fillId="14" borderId="47" xfId="2" applyFont="1" applyFill="1"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0" fillId="0" borderId="13"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4"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2" fillId="3" borderId="50" xfId="2" quotePrefix="1" applyFont="1" applyFill="1" applyBorder="1" applyAlignment="1">
      <alignment horizontal="left" vertical="top" wrapText="1"/>
    </xf>
    <xf numFmtId="0" fontId="53"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0" fillId="0" borderId="13"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4" xfId="2" quotePrefix="1" applyFont="1" applyBorder="1" applyAlignment="1">
      <alignment horizontal="left" vertical="top" wrapText="1"/>
    </xf>
    <xf numFmtId="0" fontId="55" fillId="14" borderId="53" xfId="3" applyFont="1" applyFill="1" applyBorder="1" applyAlignment="1">
      <alignment horizontal="center" vertical="center" wrapText="1"/>
    </xf>
    <xf numFmtId="0" fontId="55" fillId="14" borderId="54" xfId="3" applyFont="1" applyFill="1" applyBorder="1" applyAlignment="1">
      <alignment horizontal="center" vertical="center" wrapText="1"/>
    </xf>
    <xf numFmtId="0" fontId="55" fillId="14" borderId="55" xfId="2" applyFont="1" applyFill="1" applyBorder="1" applyAlignment="1">
      <alignment horizontal="center" vertical="center"/>
    </xf>
    <xf numFmtId="0" fontId="55" fillId="14" borderId="56" xfId="2" applyFont="1" applyFill="1" applyBorder="1" applyAlignment="1">
      <alignment horizontal="center" vertical="center"/>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19" fillId="10" borderId="0" xfId="0" applyFont="1" applyFill="1" applyAlignment="1">
      <alignment horizontal="center" vertical="center" textRotation="90" wrapText="1" readingOrder="1"/>
    </xf>
    <xf numFmtId="0" fontId="19" fillId="10" borderId="14" xfId="0" applyFont="1" applyFill="1" applyBorder="1" applyAlignment="1">
      <alignment horizontal="center" vertical="center" textRotation="90" wrapText="1" readingOrder="1"/>
    </xf>
    <xf numFmtId="0" fontId="22" fillId="12" borderId="19" xfId="0" applyFont="1" applyFill="1" applyBorder="1" applyAlignment="1">
      <alignment horizontal="center" vertical="center"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1" borderId="19"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3" borderId="19"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5" borderId="19"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18" fillId="0" borderId="11" xfId="0" applyFont="1" applyBorder="1" applyAlignment="1">
      <alignment horizontal="center" vertical="center" wrapText="1"/>
    </xf>
    <xf numFmtId="0" fontId="18" fillId="0" borderId="1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1"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8" xfId="0" applyFont="1" applyBorder="1" applyAlignment="1">
      <alignment horizontal="center" vertical="center" wrapText="1"/>
    </xf>
    <xf numFmtId="0" fontId="21" fillId="11" borderId="15"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2" borderId="13"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1"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1"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1"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19" xfId="0" applyFont="1" applyFill="1" applyBorder="1" applyAlignment="1">
      <alignment horizontal="center" vertical="center" wrapText="1" readingOrder="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4" fillId="0" borderId="11" xfId="0" applyFont="1" applyBorder="1" applyAlignment="1">
      <alignment horizontal="center" vertical="center" wrapText="1"/>
    </xf>
    <xf numFmtId="0" fontId="44" fillId="0" borderId="18" xfId="0" applyFont="1" applyBorder="1" applyAlignment="1">
      <alignment horizontal="center" vertical="center"/>
    </xf>
    <xf numFmtId="0" fontId="44" fillId="0" borderId="13" xfId="0" applyFont="1" applyBorder="1" applyAlignment="1">
      <alignment horizontal="center" vertical="center" wrapText="1"/>
    </xf>
    <xf numFmtId="0" fontId="44" fillId="0" borderId="0" xfId="0" applyFont="1" applyAlignment="1">
      <alignment horizontal="center" vertical="center"/>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12" borderId="19" xfId="0" applyFont="1" applyFill="1" applyBorder="1" applyAlignment="1">
      <alignment horizontal="center" vertical="center" wrapText="1" readingOrder="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2" xfId="0" applyFont="1" applyBorder="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3" fillId="5" borderId="19" xfId="0" applyFont="1" applyFill="1" applyBorder="1" applyAlignment="1">
      <alignment horizontal="center" vertical="center" wrapText="1" readingOrder="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13" borderId="19"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4" fillId="0" borderId="18"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4" xfId="0" applyFont="1" applyFill="1" applyBorder="1" applyAlignment="1">
      <alignment horizontal="center" vertical="center" wrapText="1" readingOrder="1"/>
    </xf>
    <xf numFmtId="0" fontId="41" fillId="15" borderId="35" xfId="0" applyFont="1" applyFill="1" applyBorder="1" applyAlignment="1">
      <alignment horizontal="center" vertical="center" wrapText="1" readingOrder="1"/>
    </xf>
    <xf numFmtId="0" fontId="41" fillId="15" borderId="46"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3" xfId="0" applyFont="1" applyFill="1" applyBorder="1" applyAlignment="1">
      <alignment horizontal="center" vertical="center" wrapText="1" readingOrder="1"/>
    </xf>
    <xf numFmtId="0" fontId="38" fillId="15" borderId="44" xfId="0" applyFont="1" applyFill="1" applyBorder="1" applyAlignment="1">
      <alignment horizontal="center" vertical="center" wrapText="1" readingOrder="1"/>
    </xf>
    <xf numFmtId="0" fontId="38" fillId="3" borderId="41" xfId="0"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96">
    <dxf>
      <fill>
        <patternFill>
          <bgColor theme="9" tint="-0.24994659260841701"/>
        </patternFill>
      </fill>
    </dxf>
    <dxf>
      <fill>
        <patternFill>
          <bgColor rgb="FFC00000"/>
        </patternFill>
      </fill>
    </dxf>
    <dxf>
      <fill>
        <patternFill>
          <bgColor rgb="FF92D050"/>
        </patternFill>
      </fill>
    </dxf>
    <dxf>
      <fill>
        <patternFill>
          <bgColor rgb="FFFFFF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95" dataDxfId="94">
  <autoFilter ref="B209:C219" xr:uid="{00000000-0009-0000-0100-000001000000}"/>
  <tableColumns count="2">
    <tableColumn id="1" xr3:uid="{00000000-0010-0000-0000-000001000000}" name="Criterios" dataDxfId="93"/>
    <tableColumn id="2" xr3:uid="{00000000-0010-0000-0000-000002000000}" name="Subcriterios" dataDxfId="9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74" customWidth="1"/>
    <col min="2" max="3" width="24.7109375" style="74" customWidth="1"/>
    <col min="4" max="4" width="16" style="74" customWidth="1"/>
    <col min="5" max="5" width="24.7109375" style="74" customWidth="1"/>
    <col min="6" max="6" width="27.7109375" style="74" customWidth="1"/>
    <col min="7" max="8" width="24.7109375" style="74" customWidth="1"/>
    <col min="9" max="16384" width="11.42578125" style="74"/>
  </cols>
  <sheetData>
    <row r="1" spans="2:8" ht="15.75" thickBot="1" x14ac:dyDescent="0.3"/>
    <row r="2" spans="2:8" ht="18" x14ac:dyDescent="0.25">
      <c r="B2" s="159" t="s">
        <v>164</v>
      </c>
      <c r="C2" s="160"/>
      <c r="D2" s="160"/>
      <c r="E2" s="160"/>
      <c r="F2" s="160"/>
      <c r="G2" s="160"/>
      <c r="H2" s="161"/>
    </row>
    <row r="3" spans="2:8" x14ac:dyDescent="0.25">
      <c r="B3" s="75"/>
      <c r="C3" s="76"/>
      <c r="D3" s="76"/>
      <c r="E3" s="76"/>
      <c r="F3" s="76"/>
      <c r="G3" s="76"/>
      <c r="H3" s="77"/>
    </row>
    <row r="4" spans="2:8" ht="63" customHeight="1" x14ac:dyDescent="0.25">
      <c r="B4" s="162" t="s">
        <v>207</v>
      </c>
      <c r="C4" s="163"/>
      <c r="D4" s="163"/>
      <c r="E4" s="163"/>
      <c r="F4" s="163"/>
      <c r="G4" s="163"/>
      <c r="H4" s="164"/>
    </row>
    <row r="5" spans="2:8" ht="63" customHeight="1" x14ac:dyDescent="0.25">
      <c r="B5" s="165"/>
      <c r="C5" s="166"/>
      <c r="D5" s="166"/>
      <c r="E5" s="166"/>
      <c r="F5" s="166"/>
      <c r="G5" s="166"/>
      <c r="H5" s="167"/>
    </row>
    <row r="6" spans="2:8" ht="16.5" x14ac:dyDescent="0.25">
      <c r="B6" s="168" t="s">
        <v>162</v>
      </c>
      <c r="C6" s="169"/>
      <c r="D6" s="169"/>
      <c r="E6" s="169"/>
      <c r="F6" s="169"/>
      <c r="G6" s="169"/>
      <c r="H6" s="170"/>
    </row>
    <row r="7" spans="2:8" ht="95.25" customHeight="1" x14ac:dyDescent="0.25">
      <c r="B7" s="178" t="s">
        <v>167</v>
      </c>
      <c r="C7" s="179"/>
      <c r="D7" s="179"/>
      <c r="E7" s="179"/>
      <c r="F7" s="179"/>
      <c r="G7" s="179"/>
      <c r="H7" s="180"/>
    </row>
    <row r="8" spans="2:8" ht="16.5" x14ac:dyDescent="0.25">
      <c r="B8" s="111"/>
      <c r="C8" s="112"/>
      <c r="D8" s="112"/>
      <c r="E8" s="112"/>
      <c r="F8" s="112"/>
      <c r="G8" s="112"/>
      <c r="H8" s="113"/>
    </row>
    <row r="9" spans="2:8" ht="16.5" customHeight="1" x14ac:dyDescent="0.25">
      <c r="B9" s="171" t="s">
        <v>200</v>
      </c>
      <c r="C9" s="172"/>
      <c r="D9" s="172"/>
      <c r="E9" s="172"/>
      <c r="F9" s="172"/>
      <c r="G9" s="172"/>
      <c r="H9" s="173"/>
    </row>
    <row r="10" spans="2:8" ht="44.25" customHeight="1" x14ac:dyDescent="0.25">
      <c r="B10" s="171"/>
      <c r="C10" s="172"/>
      <c r="D10" s="172"/>
      <c r="E10" s="172"/>
      <c r="F10" s="172"/>
      <c r="G10" s="172"/>
      <c r="H10" s="173"/>
    </row>
    <row r="11" spans="2:8" ht="15.75" thickBot="1" x14ac:dyDescent="0.3">
      <c r="B11" s="100"/>
      <c r="C11" s="103"/>
      <c r="D11" s="108"/>
      <c r="E11" s="109"/>
      <c r="F11" s="109"/>
      <c r="G11" s="110"/>
      <c r="H11" s="104"/>
    </row>
    <row r="12" spans="2:8" ht="15.75" thickTop="1" x14ac:dyDescent="0.25">
      <c r="B12" s="100"/>
      <c r="C12" s="174" t="s">
        <v>163</v>
      </c>
      <c r="D12" s="175"/>
      <c r="E12" s="176" t="s">
        <v>201</v>
      </c>
      <c r="F12" s="177"/>
      <c r="G12" s="103"/>
      <c r="H12" s="104"/>
    </row>
    <row r="13" spans="2:8" ht="35.25" customHeight="1" x14ac:dyDescent="0.25">
      <c r="B13" s="100"/>
      <c r="C13" s="146" t="s">
        <v>194</v>
      </c>
      <c r="D13" s="147"/>
      <c r="E13" s="148" t="s">
        <v>199</v>
      </c>
      <c r="F13" s="149"/>
      <c r="G13" s="103"/>
      <c r="H13" s="104"/>
    </row>
    <row r="14" spans="2:8" ht="17.25" customHeight="1" x14ac:dyDescent="0.25">
      <c r="B14" s="100"/>
      <c r="C14" s="146" t="s">
        <v>195</v>
      </c>
      <c r="D14" s="147"/>
      <c r="E14" s="148" t="s">
        <v>197</v>
      </c>
      <c r="F14" s="149"/>
      <c r="G14" s="103"/>
      <c r="H14" s="104"/>
    </row>
    <row r="15" spans="2:8" ht="19.5" customHeight="1" x14ac:dyDescent="0.25">
      <c r="B15" s="100"/>
      <c r="C15" s="146" t="s">
        <v>196</v>
      </c>
      <c r="D15" s="147"/>
      <c r="E15" s="148" t="s">
        <v>198</v>
      </c>
      <c r="F15" s="149"/>
      <c r="G15" s="103"/>
      <c r="H15" s="104"/>
    </row>
    <row r="16" spans="2:8" ht="69.75" customHeight="1" x14ac:dyDescent="0.25">
      <c r="B16" s="100"/>
      <c r="C16" s="146" t="s">
        <v>165</v>
      </c>
      <c r="D16" s="147"/>
      <c r="E16" s="148" t="s">
        <v>166</v>
      </c>
      <c r="F16" s="149"/>
      <c r="G16" s="103"/>
      <c r="H16" s="104"/>
    </row>
    <row r="17" spans="2:8" ht="34.5" customHeight="1" x14ac:dyDescent="0.25">
      <c r="B17" s="100"/>
      <c r="C17" s="150" t="s">
        <v>2</v>
      </c>
      <c r="D17" s="151"/>
      <c r="E17" s="142" t="s">
        <v>208</v>
      </c>
      <c r="F17" s="143"/>
      <c r="G17" s="103"/>
      <c r="H17" s="104"/>
    </row>
    <row r="18" spans="2:8" ht="27.75" customHeight="1" x14ac:dyDescent="0.25">
      <c r="B18" s="100"/>
      <c r="C18" s="150" t="s">
        <v>3</v>
      </c>
      <c r="D18" s="151"/>
      <c r="E18" s="142" t="s">
        <v>209</v>
      </c>
      <c r="F18" s="143"/>
      <c r="G18" s="103"/>
      <c r="H18" s="104"/>
    </row>
    <row r="19" spans="2:8" ht="28.5" customHeight="1" x14ac:dyDescent="0.25">
      <c r="B19" s="100"/>
      <c r="C19" s="150" t="s">
        <v>42</v>
      </c>
      <c r="D19" s="151"/>
      <c r="E19" s="142" t="s">
        <v>210</v>
      </c>
      <c r="F19" s="143"/>
      <c r="G19" s="103"/>
      <c r="H19" s="104"/>
    </row>
    <row r="20" spans="2:8" ht="72.75" customHeight="1" x14ac:dyDescent="0.25">
      <c r="B20" s="100"/>
      <c r="C20" s="150" t="s">
        <v>1</v>
      </c>
      <c r="D20" s="151"/>
      <c r="E20" s="142" t="s">
        <v>211</v>
      </c>
      <c r="F20" s="143"/>
      <c r="G20" s="103"/>
      <c r="H20" s="104"/>
    </row>
    <row r="21" spans="2:8" ht="64.5" customHeight="1" x14ac:dyDescent="0.25">
      <c r="B21" s="100"/>
      <c r="C21" s="150" t="s">
        <v>50</v>
      </c>
      <c r="D21" s="151"/>
      <c r="E21" s="142" t="s">
        <v>169</v>
      </c>
      <c r="F21" s="143"/>
      <c r="G21" s="103"/>
      <c r="H21" s="104"/>
    </row>
    <row r="22" spans="2:8" ht="71.25" customHeight="1" x14ac:dyDescent="0.25">
      <c r="B22" s="100"/>
      <c r="C22" s="150" t="s">
        <v>168</v>
      </c>
      <c r="D22" s="151"/>
      <c r="E22" s="142" t="s">
        <v>170</v>
      </c>
      <c r="F22" s="143"/>
      <c r="G22" s="103"/>
      <c r="H22" s="104"/>
    </row>
    <row r="23" spans="2:8" ht="55.5" customHeight="1" x14ac:dyDescent="0.25">
      <c r="B23" s="100"/>
      <c r="C23" s="144" t="s">
        <v>171</v>
      </c>
      <c r="D23" s="145"/>
      <c r="E23" s="142" t="s">
        <v>172</v>
      </c>
      <c r="F23" s="143"/>
      <c r="G23" s="103"/>
      <c r="H23" s="104"/>
    </row>
    <row r="24" spans="2:8" ht="42" customHeight="1" x14ac:dyDescent="0.25">
      <c r="B24" s="100"/>
      <c r="C24" s="144" t="s">
        <v>48</v>
      </c>
      <c r="D24" s="145"/>
      <c r="E24" s="142" t="s">
        <v>173</v>
      </c>
      <c r="F24" s="143"/>
      <c r="G24" s="103"/>
      <c r="H24" s="104"/>
    </row>
    <row r="25" spans="2:8" ht="59.25" customHeight="1" x14ac:dyDescent="0.25">
      <c r="B25" s="100"/>
      <c r="C25" s="144" t="s">
        <v>161</v>
      </c>
      <c r="D25" s="145"/>
      <c r="E25" s="142" t="s">
        <v>174</v>
      </c>
      <c r="F25" s="143"/>
      <c r="G25" s="103"/>
      <c r="H25" s="104"/>
    </row>
    <row r="26" spans="2:8" ht="23.25" customHeight="1" x14ac:dyDescent="0.25">
      <c r="B26" s="100"/>
      <c r="C26" s="144" t="s">
        <v>12</v>
      </c>
      <c r="D26" s="145"/>
      <c r="E26" s="142" t="s">
        <v>175</v>
      </c>
      <c r="F26" s="143"/>
      <c r="G26" s="103"/>
      <c r="H26" s="104"/>
    </row>
    <row r="27" spans="2:8" ht="30.75" customHeight="1" x14ac:dyDescent="0.25">
      <c r="B27" s="100"/>
      <c r="C27" s="144" t="s">
        <v>179</v>
      </c>
      <c r="D27" s="145"/>
      <c r="E27" s="142" t="s">
        <v>176</v>
      </c>
      <c r="F27" s="143"/>
      <c r="G27" s="103"/>
      <c r="H27" s="104"/>
    </row>
    <row r="28" spans="2:8" ht="35.25" customHeight="1" x14ac:dyDescent="0.25">
      <c r="B28" s="100"/>
      <c r="C28" s="144" t="s">
        <v>180</v>
      </c>
      <c r="D28" s="145"/>
      <c r="E28" s="142" t="s">
        <v>177</v>
      </c>
      <c r="F28" s="143"/>
      <c r="G28" s="103"/>
      <c r="H28" s="104"/>
    </row>
    <row r="29" spans="2:8" ht="33" customHeight="1" x14ac:dyDescent="0.25">
      <c r="B29" s="100"/>
      <c r="C29" s="144" t="s">
        <v>180</v>
      </c>
      <c r="D29" s="145"/>
      <c r="E29" s="142" t="s">
        <v>177</v>
      </c>
      <c r="F29" s="143"/>
      <c r="G29" s="103"/>
      <c r="H29" s="104"/>
    </row>
    <row r="30" spans="2:8" ht="30" customHeight="1" x14ac:dyDescent="0.25">
      <c r="B30" s="100"/>
      <c r="C30" s="144" t="s">
        <v>181</v>
      </c>
      <c r="D30" s="145"/>
      <c r="E30" s="142" t="s">
        <v>178</v>
      </c>
      <c r="F30" s="143"/>
      <c r="G30" s="103"/>
      <c r="H30" s="104"/>
    </row>
    <row r="31" spans="2:8" ht="35.25" customHeight="1" x14ac:dyDescent="0.25">
      <c r="B31" s="100"/>
      <c r="C31" s="144" t="s">
        <v>182</v>
      </c>
      <c r="D31" s="145"/>
      <c r="E31" s="142" t="s">
        <v>183</v>
      </c>
      <c r="F31" s="143"/>
      <c r="G31" s="103"/>
      <c r="H31" s="104"/>
    </row>
    <row r="32" spans="2:8" ht="31.5" customHeight="1" x14ac:dyDescent="0.25">
      <c r="B32" s="100"/>
      <c r="C32" s="144" t="s">
        <v>184</v>
      </c>
      <c r="D32" s="145"/>
      <c r="E32" s="142" t="s">
        <v>185</v>
      </c>
      <c r="F32" s="143"/>
      <c r="G32" s="103"/>
      <c r="H32" s="104"/>
    </row>
    <row r="33" spans="2:8" ht="35.25" customHeight="1" x14ac:dyDescent="0.25">
      <c r="B33" s="100"/>
      <c r="C33" s="144" t="s">
        <v>186</v>
      </c>
      <c r="D33" s="145"/>
      <c r="E33" s="142" t="s">
        <v>187</v>
      </c>
      <c r="F33" s="143"/>
      <c r="G33" s="103"/>
      <c r="H33" s="104"/>
    </row>
    <row r="34" spans="2:8" ht="59.25" customHeight="1" x14ac:dyDescent="0.25">
      <c r="B34" s="100"/>
      <c r="C34" s="144" t="s">
        <v>188</v>
      </c>
      <c r="D34" s="145"/>
      <c r="E34" s="142" t="s">
        <v>189</v>
      </c>
      <c r="F34" s="143"/>
      <c r="G34" s="103"/>
      <c r="H34" s="104"/>
    </row>
    <row r="35" spans="2:8" ht="29.25" customHeight="1" x14ac:dyDescent="0.25">
      <c r="B35" s="100"/>
      <c r="C35" s="144" t="s">
        <v>29</v>
      </c>
      <c r="D35" s="145"/>
      <c r="E35" s="142" t="s">
        <v>190</v>
      </c>
      <c r="F35" s="143"/>
      <c r="G35" s="103"/>
      <c r="H35" s="104"/>
    </row>
    <row r="36" spans="2:8" ht="82.5" customHeight="1" x14ac:dyDescent="0.25">
      <c r="B36" s="100"/>
      <c r="C36" s="144" t="s">
        <v>192</v>
      </c>
      <c r="D36" s="145"/>
      <c r="E36" s="142" t="s">
        <v>191</v>
      </c>
      <c r="F36" s="143"/>
      <c r="G36" s="103"/>
      <c r="H36" s="104"/>
    </row>
    <row r="37" spans="2:8" ht="46.5" customHeight="1" x14ac:dyDescent="0.25">
      <c r="B37" s="100"/>
      <c r="C37" s="144" t="s">
        <v>39</v>
      </c>
      <c r="D37" s="145"/>
      <c r="E37" s="142" t="s">
        <v>193</v>
      </c>
      <c r="F37" s="143"/>
      <c r="G37" s="103"/>
      <c r="H37" s="104"/>
    </row>
    <row r="38" spans="2:8" ht="6.75" customHeight="1" thickBot="1" x14ac:dyDescent="0.3">
      <c r="B38" s="100"/>
      <c r="C38" s="155"/>
      <c r="D38" s="156"/>
      <c r="E38" s="157"/>
      <c r="F38" s="158"/>
      <c r="G38" s="103"/>
      <c r="H38" s="104"/>
    </row>
    <row r="39" spans="2:8" ht="15.75" thickTop="1" x14ac:dyDescent="0.25">
      <c r="B39" s="100"/>
      <c r="C39" s="101"/>
      <c r="D39" s="101"/>
      <c r="E39" s="102"/>
      <c r="F39" s="102"/>
      <c r="G39" s="103"/>
      <c r="H39" s="104"/>
    </row>
    <row r="40" spans="2:8" ht="21" customHeight="1" x14ac:dyDescent="0.25">
      <c r="B40" s="152" t="s">
        <v>202</v>
      </c>
      <c r="C40" s="153"/>
      <c r="D40" s="153"/>
      <c r="E40" s="153"/>
      <c r="F40" s="153"/>
      <c r="G40" s="153"/>
      <c r="H40" s="154"/>
    </row>
    <row r="41" spans="2:8" ht="20.25" customHeight="1" x14ac:dyDescent="0.25">
      <c r="B41" s="152" t="s">
        <v>203</v>
      </c>
      <c r="C41" s="153"/>
      <c r="D41" s="153"/>
      <c r="E41" s="153"/>
      <c r="F41" s="153"/>
      <c r="G41" s="153"/>
      <c r="H41" s="154"/>
    </row>
    <row r="42" spans="2:8" ht="20.25" customHeight="1" x14ac:dyDescent="0.25">
      <c r="B42" s="152" t="s">
        <v>204</v>
      </c>
      <c r="C42" s="153"/>
      <c r="D42" s="153"/>
      <c r="E42" s="153"/>
      <c r="F42" s="153"/>
      <c r="G42" s="153"/>
      <c r="H42" s="154"/>
    </row>
    <row r="43" spans="2:8" ht="20.25" customHeight="1" x14ac:dyDescent="0.25">
      <c r="B43" s="152" t="s">
        <v>205</v>
      </c>
      <c r="C43" s="153"/>
      <c r="D43" s="153"/>
      <c r="E43" s="153"/>
      <c r="F43" s="153"/>
      <c r="G43" s="153"/>
      <c r="H43" s="154"/>
    </row>
    <row r="44" spans="2:8" x14ac:dyDescent="0.25">
      <c r="B44" s="152" t="s">
        <v>206</v>
      </c>
      <c r="C44" s="153"/>
      <c r="D44" s="153"/>
      <c r="E44" s="153"/>
      <c r="F44" s="153"/>
      <c r="G44" s="153"/>
      <c r="H44" s="154"/>
    </row>
    <row r="45" spans="2:8" ht="15.75" thickBot="1" x14ac:dyDescent="0.3">
      <c r="B45" s="105"/>
      <c r="C45" s="106"/>
      <c r="D45" s="106"/>
      <c r="E45" s="106"/>
      <c r="F45" s="106"/>
      <c r="G45" s="106"/>
      <c r="H45" s="10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60"/>
  <sheetViews>
    <sheetView tabSelected="1" topLeftCell="C37" zoomScale="70" zoomScaleNormal="70" workbookViewId="0">
      <selection activeCell="E40" sqref="E40:E45"/>
    </sheetView>
  </sheetViews>
  <sheetFormatPr baseColWidth="10" defaultColWidth="11.42578125" defaultRowHeight="16.5" x14ac:dyDescent="0.3"/>
  <cols>
    <col min="1" max="1" width="4" style="2" bestFit="1" customWidth="1"/>
    <col min="2" max="2" width="14.140625" style="2" customWidth="1"/>
    <col min="3" max="3" width="15.57031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4.85546875" style="1" customWidth="1"/>
    <col min="11" max="11" width="26.42578125" style="1" customWidth="1"/>
    <col min="12" max="12" width="17.5703125" style="1" customWidth="1"/>
    <col min="13" max="13" width="6.28515625" style="1" bestFit="1" customWidth="1"/>
    <col min="14" max="14" width="16" style="1" customWidth="1"/>
    <col min="15" max="15" width="5.85546875" style="1" customWidth="1"/>
    <col min="16" max="16" width="41.710937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1" t="s">
        <v>142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68" x14ac:dyDescent="0.3">
      <c r="A3" s="17"/>
      <c r="B3" s="18"/>
      <c r="C3" s="17"/>
      <c r="D3" s="17"/>
      <c r="E3" s="7"/>
      <c r="F3" s="16"/>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68" ht="34.5" customHeight="1" x14ac:dyDescent="0.3">
      <c r="A4" s="232" t="s">
        <v>43</v>
      </c>
      <c r="B4" s="233"/>
      <c r="C4" s="224" t="s">
        <v>215</v>
      </c>
      <c r="D4" s="225"/>
      <c r="E4" s="225"/>
      <c r="F4" s="225"/>
      <c r="G4" s="225"/>
      <c r="H4" s="225"/>
      <c r="I4" s="225"/>
      <c r="J4" s="225"/>
      <c r="K4" s="225"/>
      <c r="L4" s="225"/>
      <c r="M4" s="225"/>
      <c r="N4" s="226"/>
      <c r="O4" s="227"/>
      <c r="P4" s="227"/>
      <c r="Q4" s="22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8" ht="39.75" customHeight="1" x14ac:dyDescent="0.3">
      <c r="A5" s="232" t="s">
        <v>128</v>
      </c>
      <c r="B5" s="233"/>
      <c r="C5" s="224" t="s">
        <v>217</v>
      </c>
      <c r="D5" s="225"/>
      <c r="E5" s="225"/>
      <c r="F5" s="225"/>
      <c r="G5" s="225"/>
      <c r="H5" s="225"/>
      <c r="I5" s="225"/>
      <c r="J5" s="225"/>
      <c r="K5" s="225"/>
      <c r="L5" s="225"/>
      <c r="M5" s="225"/>
      <c r="N5" s="226"/>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row>
    <row r="6" spans="1:68" ht="34.5" customHeight="1" x14ac:dyDescent="0.3">
      <c r="A6" s="232" t="s">
        <v>44</v>
      </c>
      <c r="B6" s="233"/>
      <c r="C6" s="224" t="s">
        <v>218</v>
      </c>
      <c r="D6" s="225"/>
      <c r="E6" s="225"/>
      <c r="F6" s="225"/>
      <c r="G6" s="225"/>
      <c r="H6" s="225"/>
      <c r="I6" s="225"/>
      <c r="J6" s="225"/>
      <c r="K6" s="225"/>
      <c r="L6" s="225"/>
      <c r="M6" s="225"/>
      <c r="N6" s="226"/>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8" x14ac:dyDescent="0.3">
      <c r="A7" s="187" t="s">
        <v>137</v>
      </c>
      <c r="B7" s="188"/>
      <c r="C7" s="188"/>
      <c r="D7" s="188"/>
      <c r="E7" s="188"/>
      <c r="F7" s="188"/>
      <c r="G7" s="189"/>
      <c r="H7" s="187" t="s">
        <v>138</v>
      </c>
      <c r="I7" s="188"/>
      <c r="J7" s="188"/>
      <c r="K7" s="188"/>
      <c r="L7" s="188"/>
      <c r="M7" s="188"/>
      <c r="N7" s="189"/>
      <c r="O7" s="187" t="s">
        <v>139</v>
      </c>
      <c r="P7" s="188"/>
      <c r="Q7" s="188"/>
      <c r="R7" s="188"/>
      <c r="S7" s="188"/>
      <c r="T7" s="188"/>
      <c r="U7" s="188"/>
      <c r="V7" s="188"/>
      <c r="W7" s="189"/>
      <c r="X7" s="187" t="s">
        <v>140</v>
      </c>
      <c r="Y7" s="188"/>
      <c r="Z7" s="188"/>
      <c r="AA7" s="188"/>
      <c r="AB7" s="188"/>
      <c r="AC7" s="188"/>
      <c r="AD7" s="189"/>
      <c r="AE7" s="187" t="s">
        <v>34</v>
      </c>
      <c r="AF7" s="188"/>
      <c r="AG7" s="188"/>
      <c r="AH7" s="188"/>
      <c r="AI7" s="188"/>
      <c r="AJ7" s="189"/>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row>
    <row r="8" spans="1:68" ht="16.5" customHeight="1" x14ac:dyDescent="0.3">
      <c r="A8" s="234" t="s">
        <v>0</v>
      </c>
      <c r="B8" s="230" t="s">
        <v>2</v>
      </c>
      <c r="C8" s="228" t="s">
        <v>3</v>
      </c>
      <c r="D8" s="228" t="s">
        <v>42</v>
      </c>
      <c r="E8" s="236" t="s">
        <v>1</v>
      </c>
      <c r="F8" s="231" t="s">
        <v>50</v>
      </c>
      <c r="G8" s="228" t="s">
        <v>133</v>
      </c>
      <c r="H8" s="229" t="s">
        <v>33</v>
      </c>
      <c r="I8" s="220" t="s">
        <v>5</v>
      </c>
      <c r="J8" s="231" t="s">
        <v>87</v>
      </c>
      <c r="K8" s="231" t="s">
        <v>92</v>
      </c>
      <c r="L8" s="218" t="s">
        <v>45</v>
      </c>
      <c r="M8" s="220" t="s">
        <v>5</v>
      </c>
      <c r="N8" s="228" t="s">
        <v>48</v>
      </c>
      <c r="O8" s="221" t="s">
        <v>11</v>
      </c>
      <c r="P8" s="217" t="s">
        <v>161</v>
      </c>
      <c r="Q8" s="231" t="s">
        <v>12</v>
      </c>
      <c r="R8" s="217" t="s">
        <v>8</v>
      </c>
      <c r="S8" s="217"/>
      <c r="T8" s="217"/>
      <c r="U8" s="217"/>
      <c r="V8" s="217"/>
      <c r="W8" s="217"/>
      <c r="X8" s="223" t="s">
        <v>136</v>
      </c>
      <c r="Y8" s="223" t="s">
        <v>46</v>
      </c>
      <c r="Z8" s="223" t="s">
        <v>5</v>
      </c>
      <c r="AA8" s="223" t="s">
        <v>47</v>
      </c>
      <c r="AB8" s="223" t="s">
        <v>5</v>
      </c>
      <c r="AC8" s="223" t="s">
        <v>49</v>
      </c>
      <c r="AD8" s="221" t="s">
        <v>29</v>
      </c>
      <c r="AE8" s="217" t="s">
        <v>34</v>
      </c>
      <c r="AF8" s="217" t="s">
        <v>35</v>
      </c>
      <c r="AG8" s="217" t="s">
        <v>36</v>
      </c>
      <c r="AH8" s="217" t="s">
        <v>38</v>
      </c>
      <c r="AI8" s="217" t="s">
        <v>37</v>
      </c>
      <c r="AJ8" s="217" t="s">
        <v>39</v>
      </c>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row>
    <row r="9" spans="1:68" s="3" customFormat="1" ht="94.5" customHeight="1" x14ac:dyDescent="0.25">
      <c r="A9" s="235"/>
      <c r="B9" s="230"/>
      <c r="C9" s="217"/>
      <c r="D9" s="217"/>
      <c r="E9" s="230"/>
      <c r="F9" s="228"/>
      <c r="G9" s="217"/>
      <c r="H9" s="228"/>
      <c r="I9" s="219"/>
      <c r="J9" s="228"/>
      <c r="K9" s="228"/>
      <c r="L9" s="219"/>
      <c r="M9" s="219"/>
      <c r="N9" s="217"/>
      <c r="O9" s="222"/>
      <c r="P9" s="217"/>
      <c r="Q9" s="228"/>
      <c r="R9" s="6" t="s">
        <v>13</v>
      </c>
      <c r="S9" s="6" t="s">
        <v>17</v>
      </c>
      <c r="T9" s="6" t="s">
        <v>28</v>
      </c>
      <c r="U9" s="6" t="s">
        <v>18</v>
      </c>
      <c r="V9" s="6" t="s">
        <v>21</v>
      </c>
      <c r="W9" s="6" t="s">
        <v>24</v>
      </c>
      <c r="X9" s="223"/>
      <c r="Y9" s="223"/>
      <c r="Z9" s="223"/>
      <c r="AA9" s="223"/>
      <c r="AB9" s="223"/>
      <c r="AC9" s="223"/>
      <c r="AD9" s="222"/>
      <c r="AE9" s="217"/>
      <c r="AF9" s="217"/>
      <c r="AG9" s="217"/>
      <c r="AH9" s="217"/>
      <c r="AI9" s="217"/>
      <c r="AJ9" s="217"/>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row>
    <row r="10" spans="1:68" ht="54" customHeight="1" x14ac:dyDescent="0.3">
      <c r="A10" s="199">
        <v>1</v>
      </c>
      <c r="B10" s="202" t="s">
        <v>132</v>
      </c>
      <c r="C10" s="202" t="s">
        <v>219</v>
      </c>
      <c r="D10" s="202" t="s">
        <v>220</v>
      </c>
      <c r="E10" s="205" t="s">
        <v>216</v>
      </c>
      <c r="F10" s="202" t="s">
        <v>121</v>
      </c>
      <c r="G10" s="208">
        <v>397</v>
      </c>
      <c r="H10" s="211" t="str">
        <f>IF(G10&lt;=0,"",IF(G10&lt;=2,"Muy Baja",IF(G10&lt;=24,"Baja",IF(G10&lt;=500,"Media",IF(G10&lt;=5000,"Alta","Muy Alta")))))</f>
        <v>Media</v>
      </c>
      <c r="I10" s="193">
        <f>IF(H10="","",IF(H10="Muy Baja",0.2,IF(H10="Baja",0.4,IF(H10="Media",0.6,IF(H10="Alta",0.8,IF(H10="Muy Alta",1,))))))</f>
        <v>0.6</v>
      </c>
      <c r="J10" s="214" t="s">
        <v>149</v>
      </c>
      <c r="K10" s="193" t="str">
        <f ca="1">IF(NOT(ISERROR(MATCH(J10,'Tabla Impacto'!$B$221:$B$223,0))),'Tabla Impacto'!$F$223&amp;"Por favor no seleccionar los criterios de impacto(Afectación Económica o presupuestal y Pérdida Reputacional)",J10)</f>
        <v xml:space="preserve">     Entre 100 y 500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Mayor</v>
      </c>
      <c r="M10" s="193">
        <f ca="1">IF(L10="","",IF(L10="Leve",0.2,IF(L10="Menor",0.4,IF(L10="Moderado",0.6,IF(L10="Mayor",0.8,IF(L10="Catastrófico",1,))))))</f>
        <v>0.8</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5">
        <v>1</v>
      </c>
      <c r="P10" s="26" t="s">
        <v>221</v>
      </c>
      <c r="Q10" s="28" t="str">
        <f>IF(OR(R10="Preventivo",R10="Detectivo"),"Probabilidad",IF(R10="Correctivo","Impacto",""))</f>
        <v>Probabilidad</v>
      </c>
      <c r="R10" s="29" t="s">
        <v>14</v>
      </c>
      <c r="S10" s="29" t="s">
        <v>9</v>
      </c>
      <c r="T10" s="30" t="str">
        <f>IF(AND(R10="Preventivo",S10="Automático"),"50%",IF(AND(R10="Preventivo",S10="Manual"),"40%",IF(AND(R10="Detectivo",S10="Automático"),"40%",IF(AND(R10="Detectivo",S10="Manual"),"30%",IF(AND(R10="Correctivo",S10="Automático"),"35%",IF(AND(R10="Correctivo",S10="Manual"),"25%",""))))))</f>
        <v>40%</v>
      </c>
      <c r="U10" s="29" t="s">
        <v>19</v>
      </c>
      <c r="V10" s="29" t="s">
        <v>22</v>
      </c>
      <c r="W10" s="29" t="s">
        <v>117</v>
      </c>
      <c r="X10" s="13">
        <f>IFERROR(IF(Q10="Probabilidad",(I10-(+I10*T10)),IF(Q10="Impacto",I10,"")),"")</f>
        <v>0.36</v>
      </c>
      <c r="Y10" s="31" t="str">
        <f>IFERROR(IF(X10="","",IF(X10&lt;=0.2,"Muy Baja",IF(X10&lt;=0.4,"Baja",IF(X10&lt;=0.6,"Media",IF(X10&lt;=0.8,"Alta","Muy Alta"))))),"")</f>
        <v>Baja</v>
      </c>
      <c r="Z10" s="32">
        <f>+X10</f>
        <v>0.36</v>
      </c>
      <c r="AA10" s="31" t="str">
        <f ca="1">IFERROR(IF(AB10="","",IF(AB10&lt;=0.2,"Leve",IF(AB10&lt;=0.4,"Menor",IF(AB10&lt;=0.6,"Moderado",IF(AB10&lt;=0.8,"Mayor","Catastrófico"))))),"")</f>
        <v>Mayor</v>
      </c>
      <c r="AB10" s="32">
        <f ca="1">IFERROR(IF(Q10="Impacto",(M10-(+M10*T10)),IF(Q10="Probabilidad",M10,"")),"")</f>
        <v>0.8</v>
      </c>
      <c r="AC10" s="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34" t="s">
        <v>31</v>
      </c>
      <c r="AE10" s="35"/>
      <c r="AF10" s="35"/>
      <c r="AG10" s="36"/>
      <c r="AH10" s="36"/>
      <c r="AI10" s="35"/>
      <c r="AJ10" s="140"/>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1:68" ht="60.75" customHeight="1" x14ac:dyDescent="0.3">
      <c r="A11" s="200"/>
      <c r="B11" s="203"/>
      <c r="C11" s="203"/>
      <c r="D11" s="203"/>
      <c r="E11" s="206"/>
      <c r="F11" s="203"/>
      <c r="G11" s="209"/>
      <c r="H11" s="212"/>
      <c r="I11" s="194"/>
      <c r="J11" s="215"/>
      <c r="K11" s="194">
        <f t="shared" ref="K11:K15" ca="1" si="0">IF(NOT(ISERROR(MATCH(J11,_xlfn.ANCHORARRAY(E22),0))),I24&amp;"Por favor no seleccionar los criterios de impacto",J11)</f>
        <v>0</v>
      </c>
      <c r="L11" s="212"/>
      <c r="M11" s="194"/>
      <c r="N11" s="197"/>
      <c r="O11" s="5">
        <v>2</v>
      </c>
      <c r="P11" s="26" t="s">
        <v>222</v>
      </c>
      <c r="Q11" s="28" t="str">
        <f>IF(OR(R11="Preventivo",R11="Detectivo"),"Probabilidad",IF(R11="Correctivo","Impacto",""))</f>
        <v>Probabilidad</v>
      </c>
      <c r="R11" s="29" t="s">
        <v>14</v>
      </c>
      <c r="S11" s="29" t="s">
        <v>9</v>
      </c>
      <c r="T11" s="30" t="str">
        <f t="shared" ref="T11:T15" si="1">IF(AND(R11="Preventivo",S11="Automático"),"50%",IF(AND(R11="Preventivo",S11="Manual"),"40%",IF(AND(R11="Detectivo",S11="Automático"),"40%",IF(AND(R11="Detectivo",S11="Manual"),"30%",IF(AND(R11="Correctivo",S11="Automático"),"35%",IF(AND(R11="Correctivo",S11="Manual"),"25%",""))))))</f>
        <v>40%</v>
      </c>
      <c r="U11" s="29" t="s">
        <v>19</v>
      </c>
      <c r="V11" s="29" t="s">
        <v>22</v>
      </c>
      <c r="W11" s="29" t="s">
        <v>117</v>
      </c>
      <c r="X11" s="139">
        <f>IFERROR(IF(AND(Q10="Probabilidad",Q11="Probabilidad"),(Z10-(+Z10*T11)),IF(Q11="Probabilidad",(I10-(+I10*T11)),IF(Q11="Impacto",Z10,""))),"")</f>
        <v>0.216</v>
      </c>
      <c r="Y11" s="31" t="str">
        <f t="shared" ref="Y11:Y57" si="2">IFERROR(IF(X11="","",IF(X11&lt;=0.2,"Muy Baja",IF(X11&lt;=0.4,"Baja",IF(X11&lt;=0.6,"Media",IF(X11&lt;=0.8,"Alta","Muy Alta"))))),"")</f>
        <v>Baja</v>
      </c>
      <c r="Z11" s="32">
        <f t="shared" ref="Z11:Z15" si="3">+X11</f>
        <v>0.216</v>
      </c>
      <c r="AA11" s="31" t="str">
        <f t="shared" ref="AA11:AA57" ca="1" si="4">IFERROR(IF(AB11="","",IF(AB11&lt;=0.2,"Leve",IF(AB11&lt;=0.4,"Menor",IF(AB11&lt;=0.6,"Moderado",IF(AB11&lt;=0.8,"Mayor","Catastrófico"))))),"")</f>
        <v>Mayor</v>
      </c>
      <c r="AB11" s="32">
        <f ca="1">IFERROR(IF(AND(Q10="Impacto",Q11="Impacto"),(AB10-(+AB10*T11)),IF(AND(Q10="Probabilidad",Q11="Impacto"),(AB9-(+AB9*T11)),IF(Q11="Probabilidad",AB10,""))),"")</f>
        <v>0.8</v>
      </c>
      <c r="AC11" s="33" t="str">
        <f t="shared" ref="AC11:AC12" ca="1" si="5">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34" t="s">
        <v>31</v>
      </c>
      <c r="AE11" s="35"/>
      <c r="AF11" s="25"/>
      <c r="AG11" s="36"/>
      <c r="AH11" s="141"/>
      <c r="AI11" s="35"/>
      <c r="AJ11" s="25"/>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70.5" customHeight="1" x14ac:dyDescent="0.3">
      <c r="A12" s="200"/>
      <c r="B12" s="203"/>
      <c r="C12" s="203"/>
      <c r="D12" s="203"/>
      <c r="E12" s="206"/>
      <c r="F12" s="203"/>
      <c r="G12" s="209"/>
      <c r="H12" s="212"/>
      <c r="I12" s="194"/>
      <c r="J12" s="215"/>
      <c r="K12" s="194">
        <f t="shared" ca="1" si="0"/>
        <v>0</v>
      </c>
      <c r="L12" s="212"/>
      <c r="M12" s="194"/>
      <c r="N12" s="197"/>
      <c r="O12" s="5">
        <v>3</v>
      </c>
      <c r="P12" s="26" t="s">
        <v>223</v>
      </c>
      <c r="Q12" s="28" t="str">
        <f>IF(OR(R12="Preventivo",R12="Detectivo"),"Probabilidad",IF(R12="Correctivo","Impacto",""))</f>
        <v>Probabilidad</v>
      </c>
      <c r="R12" s="29" t="s">
        <v>15</v>
      </c>
      <c r="S12" s="29" t="s">
        <v>10</v>
      </c>
      <c r="T12" s="30" t="str">
        <f t="shared" si="1"/>
        <v>40%</v>
      </c>
      <c r="U12" s="29" t="s">
        <v>19</v>
      </c>
      <c r="V12" s="29" t="s">
        <v>22</v>
      </c>
      <c r="W12" s="29" t="s">
        <v>117</v>
      </c>
      <c r="X12" s="13">
        <f>IFERROR(IF(AND(Q11="Probabilidad",Q12="Probabilidad"),(Z11-(+Z11*T12)),IF(AND(Q11="Impacto",Q12="Probabilidad"),(Z10-(+Z10*T12)),IF(Q12="Impacto",Z11,""))),"")</f>
        <v>0.12959999999999999</v>
      </c>
      <c r="Y12" s="31" t="str">
        <f t="shared" si="2"/>
        <v>Muy Baja</v>
      </c>
      <c r="Z12" s="32">
        <f t="shared" si="3"/>
        <v>0.12959999999999999</v>
      </c>
      <c r="AA12" s="31" t="str">
        <f t="shared" ca="1" si="4"/>
        <v>Mayor</v>
      </c>
      <c r="AB12" s="32">
        <f ca="1">IFERROR(IF(AND(Q11="Impacto",Q12="Impacto"),(AB11-(+AB11*T12)),IF(AND(Q11="Probabilidad",Q12="Impacto"),(AB10-(+AB10*T12)),IF(Q12="Probabilidad",AB11,""))),"")</f>
        <v>0.8</v>
      </c>
      <c r="AC12" s="33" t="str">
        <f t="shared" ca="1" si="5"/>
        <v>Alto</v>
      </c>
      <c r="AD12" s="34" t="s">
        <v>31</v>
      </c>
      <c r="AE12" s="35"/>
      <c r="AF12" s="35"/>
      <c r="AG12" s="36"/>
      <c r="AH12" s="36"/>
      <c r="AI12" s="35"/>
      <c r="AJ12" s="25"/>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row>
    <row r="13" spans="1:68" ht="56.25" customHeight="1" x14ac:dyDescent="0.3">
      <c r="A13" s="200"/>
      <c r="B13" s="203"/>
      <c r="C13" s="203"/>
      <c r="D13" s="203"/>
      <c r="E13" s="206"/>
      <c r="F13" s="203"/>
      <c r="G13" s="209"/>
      <c r="H13" s="212"/>
      <c r="I13" s="194"/>
      <c r="J13" s="215"/>
      <c r="K13" s="194">
        <f t="shared" ca="1" si="0"/>
        <v>0</v>
      </c>
      <c r="L13" s="212"/>
      <c r="M13" s="194"/>
      <c r="N13" s="197"/>
      <c r="O13" s="5">
        <v>4</v>
      </c>
      <c r="P13" s="26" t="s">
        <v>224</v>
      </c>
      <c r="Q13" s="28" t="str">
        <f t="shared" ref="Q13:Q15" si="6">IF(OR(R13="Preventivo",R13="Detectivo"),"Probabilidad",IF(R13="Correctivo","Impacto",""))</f>
        <v>Probabilidad</v>
      </c>
      <c r="R13" s="29" t="s">
        <v>15</v>
      </c>
      <c r="S13" s="29" t="s">
        <v>9</v>
      </c>
      <c r="T13" s="30" t="str">
        <f t="shared" si="1"/>
        <v>30%</v>
      </c>
      <c r="U13" s="29" t="s">
        <v>19</v>
      </c>
      <c r="V13" s="29" t="s">
        <v>22</v>
      </c>
      <c r="W13" s="29" t="s">
        <v>117</v>
      </c>
      <c r="X13" s="13">
        <f t="shared" ref="X13:X15" si="7">IFERROR(IF(AND(Q12="Probabilidad",Q13="Probabilidad"),(Z12-(+Z12*T13)),IF(AND(Q12="Impacto",Q13="Probabilidad"),(Z11-(+Z11*T13)),IF(Q13="Impacto",Z12,""))),"")</f>
        <v>9.0719999999999995E-2</v>
      </c>
      <c r="Y13" s="31" t="str">
        <f t="shared" si="2"/>
        <v>Muy Baja</v>
      </c>
      <c r="Z13" s="32">
        <f t="shared" si="3"/>
        <v>9.0719999999999995E-2</v>
      </c>
      <c r="AA13" s="31" t="str">
        <f t="shared" ca="1" si="4"/>
        <v>Mayor</v>
      </c>
      <c r="AB13" s="32">
        <f t="shared" ref="AB13:AB15" ca="1" si="8">IFERROR(IF(AND(Q12="Impacto",Q13="Impacto"),(AB12-(+AB12*T13)),IF(AND(Q12="Probabilidad",Q13="Impacto"),(AB11-(+AB11*T13)),IF(Q13="Probabilidad",AB12,""))),"")</f>
        <v>0.8</v>
      </c>
      <c r="AC13" s="33" t="str">
        <f ca="1">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34" t="s">
        <v>31</v>
      </c>
      <c r="AE13" s="35"/>
      <c r="AF13" s="25"/>
      <c r="AG13" s="36"/>
      <c r="AH13" s="36"/>
      <c r="AI13" s="35"/>
      <c r="AJ13" s="25"/>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ht="23.25" customHeight="1" x14ac:dyDescent="0.3">
      <c r="A14" s="200"/>
      <c r="B14" s="203"/>
      <c r="C14" s="203"/>
      <c r="D14" s="203"/>
      <c r="E14" s="206"/>
      <c r="F14" s="203"/>
      <c r="G14" s="209"/>
      <c r="H14" s="212"/>
      <c r="I14" s="194"/>
      <c r="J14" s="215"/>
      <c r="K14" s="194">
        <f t="shared" ca="1" si="0"/>
        <v>0</v>
      </c>
      <c r="L14" s="212"/>
      <c r="M14" s="194"/>
      <c r="N14" s="197"/>
      <c r="O14" s="5">
        <v>5</v>
      </c>
      <c r="P14" s="26"/>
      <c r="Q14" s="28" t="str">
        <f t="shared" si="6"/>
        <v/>
      </c>
      <c r="R14" s="29"/>
      <c r="S14" s="29"/>
      <c r="T14" s="30" t="str">
        <f t="shared" si="1"/>
        <v/>
      </c>
      <c r="U14" s="29"/>
      <c r="V14" s="29"/>
      <c r="W14" s="29"/>
      <c r="X14" s="13" t="str">
        <f t="shared" si="7"/>
        <v/>
      </c>
      <c r="Y14" s="31" t="str">
        <f t="shared" si="2"/>
        <v/>
      </c>
      <c r="Z14" s="32" t="str">
        <f t="shared" si="3"/>
        <v/>
      </c>
      <c r="AA14" s="31" t="str">
        <f t="shared" si="4"/>
        <v/>
      </c>
      <c r="AB14" s="32" t="str">
        <f t="shared" si="8"/>
        <v/>
      </c>
      <c r="AC14" s="33" t="str">
        <f t="shared" ref="AC14:AC15" si="9">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34"/>
      <c r="AE14" s="35"/>
      <c r="AF14" s="25"/>
      <c r="AG14" s="36"/>
      <c r="AH14" s="36"/>
      <c r="AI14" s="35"/>
      <c r="AJ14" s="25"/>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ht="23.25" customHeight="1" x14ac:dyDescent="0.3">
      <c r="A15" s="201"/>
      <c r="B15" s="204"/>
      <c r="C15" s="204"/>
      <c r="D15" s="204"/>
      <c r="E15" s="207"/>
      <c r="F15" s="204"/>
      <c r="G15" s="210"/>
      <c r="H15" s="213"/>
      <c r="I15" s="195"/>
      <c r="J15" s="216"/>
      <c r="K15" s="195">
        <f t="shared" ca="1" si="0"/>
        <v>0</v>
      </c>
      <c r="L15" s="213"/>
      <c r="M15" s="195"/>
      <c r="N15" s="198"/>
      <c r="O15" s="5">
        <v>6</v>
      </c>
      <c r="P15" s="26"/>
      <c r="Q15" s="28" t="str">
        <f t="shared" si="6"/>
        <v/>
      </c>
      <c r="R15" s="29"/>
      <c r="S15" s="29"/>
      <c r="T15" s="30" t="str">
        <f t="shared" si="1"/>
        <v/>
      </c>
      <c r="U15" s="29"/>
      <c r="V15" s="29"/>
      <c r="W15" s="29"/>
      <c r="X15" s="13" t="str">
        <f t="shared" si="7"/>
        <v/>
      </c>
      <c r="Y15" s="31" t="str">
        <f t="shared" si="2"/>
        <v/>
      </c>
      <c r="Z15" s="32" t="str">
        <f t="shared" si="3"/>
        <v/>
      </c>
      <c r="AA15" s="31" t="str">
        <f t="shared" si="4"/>
        <v/>
      </c>
      <c r="AB15" s="32" t="str">
        <f t="shared" si="8"/>
        <v/>
      </c>
      <c r="AC15" s="33" t="str">
        <f t="shared" si="9"/>
        <v/>
      </c>
      <c r="AD15" s="34"/>
      <c r="AE15" s="35"/>
      <c r="AF15" s="25"/>
      <c r="AG15" s="36"/>
      <c r="AH15" s="36"/>
      <c r="AI15" s="35"/>
      <c r="AJ15" s="25"/>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ht="82.5" customHeight="1" x14ac:dyDescent="0.3">
      <c r="A16" s="199">
        <v>2</v>
      </c>
      <c r="B16" s="202" t="s">
        <v>131</v>
      </c>
      <c r="C16" s="202" t="s">
        <v>225</v>
      </c>
      <c r="D16" s="202" t="s">
        <v>227</v>
      </c>
      <c r="E16" s="205" t="s">
        <v>226</v>
      </c>
      <c r="F16" s="202" t="s">
        <v>121</v>
      </c>
      <c r="G16" s="208">
        <v>26</v>
      </c>
      <c r="H16" s="211" t="str">
        <f>IF(G16&lt;=0,"",IF(G16&lt;=2,"Muy Baja",IF(G16&lt;=24,"Baja",IF(G16&lt;=500,"Media",IF(G16&lt;=5000,"Alta","Muy Alta")))))</f>
        <v>Media</v>
      </c>
      <c r="I16" s="193">
        <f>IF(H16="","",IF(H16="Muy Baja",0.2,IF(H16="Baja",0.4,IF(H16="Media",0.6,IF(H16="Alta",0.8,IF(H16="Muy Alta",1,))))))</f>
        <v>0.6</v>
      </c>
      <c r="J16" s="214" t="s">
        <v>149</v>
      </c>
      <c r="K16" s="193" t="str">
        <f ca="1">IF(NOT(ISERROR(MATCH(J16,'Tabla Impacto'!$B$221:$B$223,0))),'Tabla Impacto'!$F$223&amp;"Por favor no seleccionar los criterios de impacto(Afectación Económica o presupuestal y Pérdida Reputacional)",J16)</f>
        <v xml:space="preserve">     Entre 100 y 500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Mayor</v>
      </c>
      <c r="M16" s="193">
        <f ca="1">IF(L16="","",IF(L16="Leve",0.2,IF(L16="Menor",0.4,IF(L16="Moderado",0.6,IF(L16="Mayor",0.8,IF(L16="Catastrófico",1,))))))</f>
        <v>0.8</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5">
        <v>1</v>
      </c>
      <c r="P16" s="26" t="s">
        <v>228</v>
      </c>
      <c r="Q16" s="28" t="str">
        <f>IF(OR(R16="Preventivo",R16="Detectivo"),"Probabilidad",IF(R16="Correctivo","Impacto",""))</f>
        <v>Probabilidad</v>
      </c>
      <c r="R16" s="29" t="s">
        <v>14</v>
      </c>
      <c r="S16" s="29" t="s">
        <v>9</v>
      </c>
      <c r="T16" s="30" t="str">
        <f>IF(AND(R16="Preventivo",S16="Automático"),"50%",IF(AND(R16="Preventivo",S16="Manual"),"40%",IF(AND(R16="Detectivo",S16="Automático"),"40%",IF(AND(R16="Detectivo",S16="Manual"),"30%",IF(AND(R16="Correctivo",S16="Automático"),"35%",IF(AND(R16="Correctivo",S16="Manual"),"25%",""))))))</f>
        <v>40%</v>
      </c>
      <c r="U16" s="29" t="s">
        <v>19</v>
      </c>
      <c r="V16" s="29" t="s">
        <v>22</v>
      </c>
      <c r="W16" s="29" t="s">
        <v>117</v>
      </c>
      <c r="X16" s="13">
        <f>IFERROR(IF(Q16="Probabilidad",(I16-(+I16*T16)),IF(Q16="Impacto",I16,"")),"")</f>
        <v>0.36</v>
      </c>
      <c r="Y16" s="31" t="str">
        <f>IFERROR(IF(X16="","",IF(X16&lt;=0.2,"Muy Baja",IF(X16&lt;=0.4,"Baja",IF(X16&lt;=0.6,"Media",IF(X16&lt;=0.8,"Alta","Muy Alta"))))),"")</f>
        <v>Baja</v>
      </c>
      <c r="Z16" s="32">
        <f>+X16</f>
        <v>0.36</v>
      </c>
      <c r="AA16" s="31" t="str">
        <f ca="1">IFERROR(IF(AB16="","",IF(AB16&lt;=0.2,"Leve",IF(AB16&lt;=0.4,"Menor",IF(AB16&lt;=0.6,"Moderado",IF(AB16&lt;=0.8,"Mayor","Catastrófico"))))),"")</f>
        <v>Mayor</v>
      </c>
      <c r="AB16" s="32">
        <f ca="1">IFERROR(IF(Q16="Impacto",(M16-(+M16*T16)),IF(Q16="Probabilidad",M16,"")),"")</f>
        <v>0.8</v>
      </c>
      <c r="AC16" s="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34" t="s">
        <v>31</v>
      </c>
      <c r="AE16" s="35"/>
      <c r="AF16" s="25"/>
      <c r="AG16" s="36"/>
      <c r="AH16" s="36"/>
      <c r="AI16" s="35"/>
      <c r="AJ16" s="140"/>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1:68" ht="55.5" customHeight="1" x14ac:dyDescent="0.3">
      <c r="A17" s="200"/>
      <c r="B17" s="203"/>
      <c r="C17" s="203"/>
      <c r="D17" s="203"/>
      <c r="E17" s="206"/>
      <c r="F17" s="203"/>
      <c r="G17" s="209"/>
      <c r="H17" s="212"/>
      <c r="I17" s="194"/>
      <c r="J17" s="215"/>
      <c r="K17" s="194">
        <f t="shared" ref="K17:K21" ca="1" si="10">IF(NOT(ISERROR(MATCH(J17,_xlfn.ANCHORARRAY(E28),0))),I30&amp;"Por favor no seleccionar los criterios de impacto",J17)</f>
        <v>0</v>
      </c>
      <c r="L17" s="212"/>
      <c r="M17" s="194"/>
      <c r="N17" s="197"/>
      <c r="O17" s="5">
        <v>2</v>
      </c>
      <c r="P17" s="26" t="s">
        <v>237</v>
      </c>
      <c r="Q17" s="28" t="str">
        <f>IF(OR(R17="Preventivo",R17="Detectivo"),"Probabilidad",IF(R17="Correctivo","Impacto",""))</f>
        <v>Probabilidad</v>
      </c>
      <c r="R17" s="29" t="s">
        <v>14</v>
      </c>
      <c r="S17" s="29" t="s">
        <v>9</v>
      </c>
      <c r="T17" s="30" t="str">
        <f t="shared" ref="T17:T21" si="11">IF(AND(R17="Preventivo",S17="Automático"),"50%",IF(AND(R17="Preventivo",S17="Manual"),"40%",IF(AND(R17="Detectivo",S17="Automático"),"40%",IF(AND(R17="Detectivo",S17="Manual"),"30%",IF(AND(R17="Correctivo",S17="Automático"),"35%",IF(AND(R17="Correctivo",S17="Manual"),"25%",""))))))</f>
        <v>40%</v>
      </c>
      <c r="U17" s="29" t="s">
        <v>19</v>
      </c>
      <c r="V17" s="29" t="s">
        <v>22</v>
      </c>
      <c r="W17" s="29" t="s">
        <v>117</v>
      </c>
      <c r="X17" s="13">
        <f>IFERROR(IF(AND(Q16="Probabilidad",Q17="Probabilidad"),(Z16-(+Z16*T17)),IF(Q17="Probabilidad",(I16-(+I16*T17)),IF(Q17="Impacto",Z16,""))),"")</f>
        <v>0.216</v>
      </c>
      <c r="Y17" s="31" t="str">
        <f t="shared" si="2"/>
        <v>Baja</v>
      </c>
      <c r="Z17" s="32">
        <f t="shared" ref="Z17:Z21" si="12">+X17</f>
        <v>0.216</v>
      </c>
      <c r="AA17" s="31" t="str">
        <f t="shared" ca="1" si="4"/>
        <v>Mayor</v>
      </c>
      <c r="AB17" s="32">
        <f ca="1">IFERROR(IF(AND(Q16="Impacto",Q17="Impacto"),(AB10-(+AB10*T17)),IF(Q17="Impacto",($M$16-(+$M$16*T17)),IF(Q17="Probabilidad",AB16,""))),"")</f>
        <v>0.8</v>
      </c>
      <c r="AC17" s="33" t="str">
        <f t="shared" ref="AC17:AC18" ca="1" si="13">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Alto</v>
      </c>
      <c r="AD17" s="34" t="s">
        <v>31</v>
      </c>
      <c r="AE17" s="35"/>
      <c r="AF17" s="25"/>
      <c r="AG17" s="36"/>
      <c r="AH17" s="36"/>
      <c r="AI17" s="35"/>
      <c r="AJ17" s="25"/>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8" ht="92.25" customHeight="1" x14ac:dyDescent="0.3">
      <c r="A18" s="200"/>
      <c r="B18" s="203"/>
      <c r="C18" s="203"/>
      <c r="D18" s="203"/>
      <c r="E18" s="206"/>
      <c r="F18" s="203"/>
      <c r="G18" s="209"/>
      <c r="H18" s="212"/>
      <c r="I18" s="194"/>
      <c r="J18" s="215"/>
      <c r="K18" s="194">
        <f t="shared" ca="1" si="10"/>
        <v>0</v>
      </c>
      <c r="L18" s="212"/>
      <c r="M18" s="194"/>
      <c r="N18" s="197"/>
      <c r="O18" s="5">
        <v>3</v>
      </c>
      <c r="P18" s="27" t="s">
        <v>229</v>
      </c>
      <c r="Q18" s="28" t="str">
        <f>IF(OR(R18="Preventivo",R18="Detectivo"),"Probabilidad",IF(R18="Correctivo","Impacto",""))</f>
        <v>Probabilidad</v>
      </c>
      <c r="R18" s="29" t="s">
        <v>14</v>
      </c>
      <c r="S18" s="29" t="s">
        <v>9</v>
      </c>
      <c r="T18" s="30" t="str">
        <f t="shared" si="11"/>
        <v>40%</v>
      </c>
      <c r="U18" s="29" t="s">
        <v>19</v>
      </c>
      <c r="V18" s="29" t="s">
        <v>22</v>
      </c>
      <c r="W18" s="29" t="s">
        <v>117</v>
      </c>
      <c r="X18" s="13">
        <f>IFERROR(IF(AND(Q17="Probabilidad",Q18="Probabilidad"),(Z17-(+Z17*T18)),IF(AND(Q17="Impacto",Q18="Probabilidad"),(Z16-(+Z16*T18)),IF(Q18="Impacto",Z17,""))),"")</f>
        <v>0.12959999999999999</v>
      </c>
      <c r="Y18" s="31" t="str">
        <f t="shared" si="2"/>
        <v>Muy Baja</v>
      </c>
      <c r="Z18" s="32">
        <f t="shared" si="12"/>
        <v>0.12959999999999999</v>
      </c>
      <c r="AA18" s="31" t="str">
        <f t="shared" ca="1" si="4"/>
        <v>Mayor</v>
      </c>
      <c r="AB18" s="32">
        <f ca="1">IFERROR(IF(AND(Q17="Impacto",Q18="Impacto"),(AB17-(+AB17*T18)),IF(AND(Q17="Probabilidad",Q18="Impacto"),(AB16-(+AB16*T18)),IF(Q18="Probabilidad",AB17,""))),"")</f>
        <v>0.8</v>
      </c>
      <c r="AC18" s="33" t="str">
        <f t="shared" ca="1" si="13"/>
        <v>Alto</v>
      </c>
      <c r="AD18" s="34" t="s">
        <v>31</v>
      </c>
      <c r="AE18" s="35"/>
      <c r="AF18" s="25"/>
      <c r="AG18" s="36"/>
      <c r="AH18" s="36"/>
      <c r="AI18" s="35"/>
      <c r="AJ18" s="25"/>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1:68" ht="23.25" customHeight="1" x14ac:dyDescent="0.3">
      <c r="A19" s="200"/>
      <c r="B19" s="203"/>
      <c r="C19" s="203"/>
      <c r="D19" s="203"/>
      <c r="E19" s="206"/>
      <c r="F19" s="203"/>
      <c r="G19" s="209"/>
      <c r="H19" s="212"/>
      <c r="I19" s="194"/>
      <c r="J19" s="215"/>
      <c r="K19" s="194">
        <f t="shared" ca="1" si="10"/>
        <v>0</v>
      </c>
      <c r="L19" s="212"/>
      <c r="M19" s="194"/>
      <c r="N19" s="197"/>
      <c r="O19" s="5">
        <v>4</v>
      </c>
      <c r="P19" s="26"/>
      <c r="Q19" s="28" t="str">
        <f t="shared" ref="Q19:Q21" si="14">IF(OR(R19="Preventivo",R19="Detectivo"),"Probabilidad",IF(R19="Correctivo","Impacto",""))</f>
        <v/>
      </c>
      <c r="R19" s="29"/>
      <c r="S19" s="29"/>
      <c r="T19" s="30" t="str">
        <f t="shared" si="11"/>
        <v/>
      </c>
      <c r="U19" s="29"/>
      <c r="V19" s="29"/>
      <c r="W19" s="29"/>
      <c r="X19" s="13" t="str">
        <f t="shared" ref="X19:X21" si="15">IFERROR(IF(AND(Q18="Probabilidad",Q19="Probabilidad"),(Z18-(+Z18*T19)),IF(AND(Q18="Impacto",Q19="Probabilidad"),(Z17-(+Z17*T19)),IF(Q19="Impacto",Z18,""))),"")</f>
        <v/>
      </c>
      <c r="Y19" s="31" t="str">
        <f t="shared" si="2"/>
        <v/>
      </c>
      <c r="Z19" s="32" t="str">
        <f t="shared" si="12"/>
        <v/>
      </c>
      <c r="AA19" s="31" t="str">
        <f t="shared" si="4"/>
        <v/>
      </c>
      <c r="AB19" s="32" t="str">
        <f t="shared" ref="AB19:AB21" si="16">IFERROR(IF(AND(Q18="Impacto",Q19="Impacto"),(AB18-(+AB18*T19)),IF(AND(Q18="Probabilidad",Q19="Impacto"),(AB17-(+AB17*T19)),IF(Q19="Probabilidad",AB18,""))),"")</f>
        <v/>
      </c>
      <c r="AC19" s="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34"/>
      <c r="AE19" s="35"/>
      <c r="AF19" s="25"/>
      <c r="AG19" s="36"/>
      <c r="AH19" s="36"/>
      <c r="AI19" s="35"/>
      <c r="AJ19" s="25"/>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ht="23.25" customHeight="1" x14ac:dyDescent="0.3">
      <c r="A20" s="200"/>
      <c r="B20" s="203"/>
      <c r="C20" s="203"/>
      <c r="D20" s="203"/>
      <c r="E20" s="206"/>
      <c r="F20" s="203"/>
      <c r="G20" s="209"/>
      <c r="H20" s="212"/>
      <c r="I20" s="194"/>
      <c r="J20" s="215"/>
      <c r="K20" s="194">
        <f t="shared" ca="1" si="10"/>
        <v>0</v>
      </c>
      <c r="L20" s="212"/>
      <c r="M20" s="194"/>
      <c r="N20" s="197"/>
      <c r="O20" s="5">
        <v>5</v>
      </c>
      <c r="P20" s="26"/>
      <c r="Q20" s="28" t="str">
        <f t="shared" si="14"/>
        <v/>
      </c>
      <c r="R20" s="29"/>
      <c r="S20" s="29"/>
      <c r="T20" s="30" t="str">
        <f t="shared" si="11"/>
        <v/>
      </c>
      <c r="U20" s="29"/>
      <c r="V20" s="29"/>
      <c r="W20" s="29"/>
      <c r="X20" s="139" t="str">
        <f t="shared" si="15"/>
        <v/>
      </c>
      <c r="Y20" s="31" t="str">
        <f>IFERROR(IF(X20="","",IF(X20&lt;=0.2,"Muy Baja",IF(X20&lt;=0.4,"Baja",IF(X20&lt;=0.6,"Media",IF(X20&lt;=0.8,"Alta","Muy Alta"))))),"")</f>
        <v/>
      </c>
      <c r="Z20" s="32" t="str">
        <f t="shared" si="12"/>
        <v/>
      </c>
      <c r="AA20" s="31" t="str">
        <f t="shared" si="4"/>
        <v/>
      </c>
      <c r="AB20" s="32" t="str">
        <f t="shared" si="16"/>
        <v/>
      </c>
      <c r="AC20" s="33" t="str">
        <f t="shared" ref="AC20:AC21" si="17">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34"/>
      <c r="AE20" s="35"/>
      <c r="AF20" s="25"/>
      <c r="AG20" s="36"/>
      <c r="AH20" s="36"/>
      <c r="AI20" s="35"/>
      <c r="AJ20" s="25"/>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23.25" customHeight="1" x14ac:dyDescent="0.3">
      <c r="A21" s="201"/>
      <c r="B21" s="204"/>
      <c r="C21" s="204"/>
      <c r="D21" s="204"/>
      <c r="E21" s="207"/>
      <c r="F21" s="204"/>
      <c r="G21" s="210"/>
      <c r="H21" s="213"/>
      <c r="I21" s="195"/>
      <c r="J21" s="216"/>
      <c r="K21" s="195">
        <f t="shared" ca="1" si="10"/>
        <v>0</v>
      </c>
      <c r="L21" s="213"/>
      <c r="M21" s="195"/>
      <c r="N21" s="198"/>
      <c r="O21" s="5">
        <v>6</v>
      </c>
      <c r="P21" s="26"/>
      <c r="Q21" s="28" t="str">
        <f t="shared" si="14"/>
        <v/>
      </c>
      <c r="R21" s="29"/>
      <c r="S21" s="29"/>
      <c r="T21" s="30" t="str">
        <f t="shared" si="11"/>
        <v/>
      </c>
      <c r="U21" s="29"/>
      <c r="V21" s="29"/>
      <c r="W21" s="29"/>
      <c r="X21" s="13" t="str">
        <f t="shared" si="15"/>
        <v/>
      </c>
      <c r="Y21" s="31" t="str">
        <f t="shared" si="2"/>
        <v/>
      </c>
      <c r="Z21" s="32" t="str">
        <f t="shared" si="12"/>
        <v/>
      </c>
      <c r="AA21" s="31" t="str">
        <f t="shared" si="4"/>
        <v/>
      </c>
      <c r="AB21" s="32" t="str">
        <f t="shared" si="16"/>
        <v/>
      </c>
      <c r="AC21" s="33" t="str">
        <f t="shared" si="17"/>
        <v/>
      </c>
      <c r="AD21" s="34"/>
      <c r="AE21" s="35"/>
      <c r="AF21" s="25"/>
      <c r="AG21" s="36"/>
      <c r="AH21" s="36"/>
      <c r="AI21" s="35"/>
      <c r="AJ21" s="25"/>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69" customHeight="1" x14ac:dyDescent="0.3">
      <c r="A22" s="199">
        <v>3</v>
      </c>
      <c r="B22" s="202" t="s">
        <v>132</v>
      </c>
      <c r="C22" s="202" t="s">
        <v>238</v>
      </c>
      <c r="D22" s="202" t="s">
        <v>239</v>
      </c>
      <c r="E22" s="205" t="s">
        <v>240</v>
      </c>
      <c r="F22" s="202" t="s">
        <v>121</v>
      </c>
      <c r="G22" s="208">
        <v>397</v>
      </c>
      <c r="H22" s="211" t="str">
        <f>IF(G22&lt;=0,"",IF(G22&lt;=2,"Muy Baja",IF(G22&lt;=24,"Baja",IF(G22&lt;=500,"Media",IF(G22&lt;=5000,"Alta","Muy Alta")))))</f>
        <v>Media</v>
      </c>
      <c r="I22" s="193">
        <f>IF(H22="","",IF(H22="Muy Baja",0.2,IF(H22="Baja",0.4,IF(H22="Media",0.6,IF(H22="Alta",0.8,IF(H22="Muy Alta",1,))))))</f>
        <v>0.6</v>
      </c>
      <c r="J22" s="214" t="s">
        <v>149</v>
      </c>
      <c r="K22" s="193" t="str">
        <f ca="1">IF(NOT(ISERROR(MATCH(J22,'Tabla Impacto'!$B$221:$B$223,0))),'Tabla Impacto'!$F$223&amp;"Por favor no seleccionar los criterios de impacto(Afectación Económica o presupuestal y Pérdida Reputacional)",J22)</f>
        <v xml:space="preserve">     Entre 100 y 500 SMLMV </v>
      </c>
      <c r="L22" s="211" t="str">
        <f ca="1">IF(OR(K22='Tabla Impacto'!$C$11,K22='Tabla Impacto'!$D$11),"Leve",IF(OR(K22='Tabla Impacto'!$C$12,K22='Tabla Impacto'!$D$12),"Menor",IF(OR(K22='Tabla Impacto'!$C$13,K22='Tabla Impacto'!$D$13),"Moderado",IF(OR(K22='Tabla Impacto'!$C$14,K22='Tabla Impacto'!$D$14),"Mayor",IF(OR(K22='Tabla Impacto'!$C$15,K22='Tabla Impacto'!$D$15),"Catastrófico","")))))</f>
        <v>Mayor</v>
      </c>
      <c r="M22" s="193">
        <f ca="1">IF(L22="","",IF(L22="Leve",0.2,IF(L22="Menor",0.4,IF(L22="Moderado",0.6,IF(L22="Mayor",0.8,IF(L22="Catastrófico",1,))))))</f>
        <v>0.8</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5">
        <v>1</v>
      </c>
      <c r="P22" s="26" t="s">
        <v>241</v>
      </c>
      <c r="Q22" s="28" t="str">
        <f>IF(OR(R22="Preventivo",R22="Detectivo"),"Probabilidad",IF(R22="Correctivo","Impacto",""))</f>
        <v>Impacto</v>
      </c>
      <c r="R22" s="29" t="s">
        <v>16</v>
      </c>
      <c r="S22" s="29" t="s">
        <v>9</v>
      </c>
      <c r="T22" s="30" t="str">
        <f>IF(AND(R22="Preventivo",S22="Automático"),"50%",IF(AND(R22="Preventivo",S22="Manual"),"40%",IF(AND(R22="Detectivo",S22="Automático"),"40%",IF(AND(R22="Detectivo",S22="Manual"),"30%",IF(AND(R22="Correctivo",S22="Automático"),"35%",IF(AND(R22="Correctivo",S22="Manual"),"25%",""))))))</f>
        <v>25%</v>
      </c>
      <c r="U22" s="29" t="s">
        <v>19</v>
      </c>
      <c r="V22" s="29" t="s">
        <v>22</v>
      </c>
      <c r="W22" s="29" t="s">
        <v>117</v>
      </c>
      <c r="X22" s="13">
        <f>IFERROR(IF(Q22="Probabilidad",(I22-(+I22*T22)),IF(Q22="Impacto",I22,"")),"")</f>
        <v>0.6</v>
      </c>
      <c r="Y22" s="31" t="str">
        <f>IFERROR(IF(X22="","",IF(X22&lt;=0.2,"Muy Baja",IF(X22&lt;=0.4,"Baja",IF(X22&lt;=0.6,"Media",IF(X22&lt;=0.8,"Alta","Muy Alta"))))),"")</f>
        <v>Media</v>
      </c>
      <c r="Z22" s="32">
        <f>+X22</f>
        <v>0.6</v>
      </c>
      <c r="AA22" s="31" t="str">
        <f ca="1">IFERROR(IF(AB22="","",IF(AB22&lt;=0.2,"Leve",IF(AB22&lt;=0.4,"Menor",IF(AB22&lt;=0.6,"Moderado",IF(AB22&lt;=0.8,"Mayor","Catastrófico"))))),"")</f>
        <v>Moderado</v>
      </c>
      <c r="AB22" s="32">
        <f ca="1">IFERROR(IF(Q22="Impacto",(M22-(+M22*T22)),IF(Q22="Probabilidad",M22,"")),"")</f>
        <v>0.60000000000000009</v>
      </c>
      <c r="AC22" s="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34" t="s">
        <v>31</v>
      </c>
      <c r="AE22" s="26"/>
      <c r="AF22" s="25"/>
      <c r="AG22" s="141"/>
      <c r="AH22" s="36"/>
      <c r="AI22" s="35"/>
      <c r="AJ22" s="25"/>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54" customHeight="1" x14ac:dyDescent="0.3">
      <c r="A23" s="200"/>
      <c r="B23" s="203"/>
      <c r="C23" s="203"/>
      <c r="D23" s="203"/>
      <c r="E23" s="206"/>
      <c r="F23" s="203"/>
      <c r="G23" s="209"/>
      <c r="H23" s="212"/>
      <c r="I23" s="194"/>
      <c r="J23" s="215"/>
      <c r="K23" s="194">
        <f t="shared" ref="K23:K27" ca="1" si="18">IF(NOT(ISERROR(MATCH(J23,_xlfn.ANCHORARRAY(E34),0))),I36&amp;"Por favor no seleccionar los criterios de impacto",J23)</f>
        <v>0</v>
      </c>
      <c r="L23" s="212"/>
      <c r="M23" s="194"/>
      <c r="N23" s="197"/>
      <c r="O23" s="5">
        <v>2</v>
      </c>
      <c r="P23" s="26" t="s">
        <v>243</v>
      </c>
      <c r="Q23" s="28" t="str">
        <f>IF(OR(R23="Preventivo",R23="Detectivo"),"Probabilidad",IF(R23="Correctivo","Impacto",""))</f>
        <v>Probabilidad</v>
      </c>
      <c r="R23" s="29" t="s">
        <v>15</v>
      </c>
      <c r="S23" s="29" t="s">
        <v>9</v>
      </c>
      <c r="T23" s="30" t="str">
        <f t="shared" ref="T23:T27" si="19">IF(AND(R23="Preventivo",S23="Automático"),"50%",IF(AND(R23="Preventivo",S23="Manual"),"40%",IF(AND(R23="Detectivo",S23="Automático"),"40%",IF(AND(R23="Detectivo",S23="Manual"),"30%",IF(AND(R23="Correctivo",S23="Automático"),"35%",IF(AND(R23="Correctivo",S23="Manual"),"25%",""))))))</f>
        <v>30%</v>
      </c>
      <c r="U23" s="29" t="s">
        <v>19</v>
      </c>
      <c r="V23" s="29" t="s">
        <v>22</v>
      </c>
      <c r="W23" s="29" t="s">
        <v>117</v>
      </c>
      <c r="X23" s="13">
        <f>IFERROR(IF(AND(Q22="Probabilidad",Q23="Probabilidad"),(Z22-(+Z22*T23)),IF(Q23="Probabilidad",(I22-(+I22*T23)),IF(Q23="Impacto",Z22,""))),"")</f>
        <v>0.42</v>
      </c>
      <c r="Y23" s="31" t="str">
        <f t="shared" si="2"/>
        <v>Media</v>
      </c>
      <c r="Z23" s="32">
        <f t="shared" ref="Z23:Z27" si="20">+X23</f>
        <v>0.42</v>
      </c>
      <c r="AA23" s="31" t="str">
        <f t="shared" ca="1" si="4"/>
        <v>Moderado</v>
      </c>
      <c r="AB23" s="32">
        <f ca="1">IFERROR(IF(AND(Q22="Impacto",Q23="Impacto"),(AB16-(+AB16*T23)),IF(Q23="Impacto",($M$22-(+$M$22*T23)),IF(Q23="Probabilidad",AB22,""))),"")</f>
        <v>0.60000000000000009</v>
      </c>
      <c r="AC23" s="33" t="str">
        <f t="shared" ref="AC23:AC24" ca="1" si="2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34" t="s">
        <v>31</v>
      </c>
      <c r="AE23" s="26"/>
      <c r="AF23" s="25"/>
      <c r="AG23" s="141"/>
      <c r="AH23" s="36"/>
      <c r="AI23" s="35"/>
      <c r="AJ23" s="25"/>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60.75" customHeight="1" x14ac:dyDescent="0.3">
      <c r="A24" s="200"/>
      <c r="B24" s="203"/>
      <c r="C24" s="203"/>
      <c r="D24" s="203"/>
      <c r="E24" s="206"/>
      <c r="F24" s="203"/>
      <c r="G24" s="209"/>
      <c r="H24" s="212"/>
      <c r="I24" s="194"/>
      <c r="J24" s="215"/>
      <c r="K24" s="194">
        <f t="shared" ca="1" si="18"/>
        <v>0</v>
      </c>
      <c r="L24" s="212"/>
      <c r="M24" s="194"/>
      <c r="N24" s="197"/>
      <c r="O24" s="5">
        <v>3</v>
      </c>
      <c r="P24" s="26" t="s">
        <v>242</v>
      </c>
      <c r="Q24" s="28" t="str">
        <f>IF(OR(R24="Preventivo",R24="Detectivo"),"Probabilidad",IF(R24="Correctivo","Impacto",""))</f>
        <v>Probabilidad</v>
      </c>
      <c r="R24" s="29" t="s">
        <v>14</v>
      </c>
      <c r="S24" s="29" t="s">
        <v>9</v>
      </c>
      <c r="T24" s="30" t="str">
        <f t="shared" si="19"/>
        <v>40%</v>
      </c>
      <c r="U24" s="29" t="s">
        <v>19</v>
      </c>
      <c r="V24" s="29" t="s">
        <v>22</v>
      </c>
      <c r="W24" s="29" t="s">
        <v>117</v>
      </c>
      <c r="X24" s="13">
        <f>IFERROR(IF(AND(Q23="Probabilidad",Q24="Probabilidad"),(Z23-(+Z23*T24)),IF(AND(Q23="Impacto",Q24="Probabilidad"),(Z22-(+Z22*T24)),IF(Q24="Impacto",Z23,""))),"")</f>
        <v>0.252</v>
      </c>
      <c r="Y24" s="31" t="str">
        <f t="shared" si="2"/>
        <v>Baja</v>
      </c>
      <c r="Z24" s="32">
        <f t="shared" si="20"/>
        <v>0.252</v>
      </c>
      <c r="AA24" s="31" t="str">
        <f t="shared" ca="1" si="4"/>
        <v>Moderado</v>
      </c>
      <c r="AB24" s="32">
        <f ca="1">IFERROR(IF(AND(Q23="Impacto",Q24="Impacto"),(AB23-(+AB23*T24)),IF(AND(Q23="Probabilidad",Q24="Impacto"),(AB22-(+AB22*T24)),IF(Q24="Probabilidad",AB23,""))),"")</f>
        <v>0.60000000000000009</v>
      </c>
      <c r="AC24" s="33" t="str">
        <f t="shared" ca="1" si="21"/>
        <v>Moderado</v>
      </c>
      <c r="AD24" s="34" t="s">
        <v>31</v>
      </c>
      <c r="AE24" s="35"/>
      <c r="AF24" s="25"/>
      <c r="AG24" s="36"/>
      <c r="AH24" s="36"/>
      <c r="AI24" s="35"/>
      <c r="AJ24" s="25"/>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8" ht="23.25" customHeight="1" x14ac:dyDescent="0.3">
      <c r="A25" s="200"/>
      <c r="B25" s="203"/>
      <c r="C25" s="203"/>
      <c r="D25" s="203"/>
      <c r="E25" s="206"/>
      <c r="F25" s="203"/>
      <c r="G25" s="209"/>
      <c r="H25" s="212"/>
      <c r="I25" s="194"/>
      <c r="J25" s="215"/>
      <c r="K25" s="194">
        <f t="shared" ca="1" si="18"/>
        <v>0</v>
      </c>
      <c r="L25" s="212"/>
      <c r="M25" s="194"/>
      <c r="N25" s="197"/>
      <c r="O25" s="5">
        <v>4</v>
      </c>
      <c r="P25" s="26"/>
      <c r="Q25" s="28" t="str">
        <f t="shared" ref="Q25:Q27" si="22">IF(OR(R25="Preventivo",R25="Detectivo"),"Probabilidad",IF(R25="Correctivo","Impacto",""))</f>
        <v/>
      </c>
      <c r="R25" s="29"/>
      <c r="S25" s="29"/>
      <c r="T25" s="30" t="str">
        <f t="shared" si="19"/>
        <v/>
      </c>
      <c r="U25" s="29"/>
      <c r="V25" s="29"/>
      <c r="W25" s="29"/>
      <c r="X25" s="13" t="str">
        <f t="shared" ref="X25:X27" si="23">IFERROR(IF(AND(Q24="Probabilidad",Q25="Probabilidad"),(Z24-(+Z24*T25)),IF(AND(Q24="Impacto",Q25="Probabilidad"),(Z23-(+Z23*T25)),IF(Q25="Impacto",Z24,""))),"")</f>
        <v/>
      </c>
      <c r="Y25" s="31" t="str">
        <f t="shared" si="2"/>
        <v/>
      </c>
      <c r="Z25" s="32" t="str">
        <f t="shared" si="20"/>
        <v/>
      </c>
      <c r="AA25" s="31" t="str">
        <f t="shared" si="4"/>
        <v/>
      </c>
      <c r="AB25" s="32" t="str">
        <f t="shared" ref="AB25:AB27" si="24">IFERROR(IF(AND(Q24="Impacto",Q25="Impacto"),(AB24-(+AB24*T25)),IF(AND(Q24="Probabilidad",Q25="Impacto"),(AB23-(+AB23*T25)),IF(Q25="Probabilidad",AB24,""))),"")</f>
        <v/>
      </c>
      <c r="AC25" s="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34"/>
      <c r="AE25" s="35"/>
      <c r="AF25" s="25"/>
      <c r="AG25" s="36"/>
      <c r="AH25" s="36"/>
      <c r="AI25" s="35"/>
      <c r="AJ25" s="25"/>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row>
    <row r="26" spans="1:68" ht="23.25" customHeight="1" x14ac:dyDescent="0.3">
      <c r="A26" s="200"/>
      <c r="B26" s="203"/>
      <c r="C26" s="203"/>
      <c r="D26" s="203"/>
      <c r="E26" s="206"/>
      <c r="F26" s="203"/>
      <c r="G26" s="209"/>
      <c r="H26" s="212"/>
      <c r="I26" s="194"/>
      <c r="J26" s="215"/>
      <c r="K26" s="194">
        <f t="shared" ca="1" si="18"/>
        <v>0</v>
      </c>
      <c r="L26" s="212"/>
      <c r="M26" s="194"/>
      <c r="N26" s="197"/>
      <c r="O26" s="5">
        <v>5</v>
      </c>
      <c r="P26" s="26"/>
      <c r="Q26" s="28" t="str">
        <f t="shared" si="22"/>
        <v/>
      </c>
      <c r="R26" s="29"/>
      <c r="S26" s="29"/>
      <c r="T26" s="30" t="str">
        <f t="shared" si="19"/>
        <v/>
      </c>
      <c r="U26" s="29"/>
      <c r="V26" s="29"/>
      <c r="W26" s="29"/>
      <c r="X26" s="13" t="str">
        <f t="shared" si="23"/>
        <v/>
      </c>
      <c r="Y26" s="31" t="str">
        <f t="shared" si="2"/>
        <v/>
      </c>
      <c r="Z26" s="32" t="str">
        <f t="shared" si="20"/>
        <v/>
      </c>
      <c r="AA26" s="31" t="str">
        <f t="shared" si="4"/>
        <v/>
      </c>
      <c r="AB26" s="32" t="str">
        <f t="shared" si="24"/>
        <v/>
      </c>
      <c r="AC26" s="33" t="str">
        <f t="shared" ref="AC26:AC27" si="25">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34"/>
      <c r="AE26" s="35"/>
      <c r="AF26" s="25"/>
      <c r="AG26" s="36"/>
      <c r="AH26" s="36"/>
      <c r="AI26" s="35"/>
      <c r="AJ26" s="25"/>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ht="23.25" customHeight="1" x14ac:dyDescent="0.3">
      <c r="A27" s="201"/>
      <c r="B27" s="204"/>
      <c r="C27" s="204"/>
      <c r="D27" s="204"/>
      <c r="E27" s="207"/>
      <c r="F27" s="204"/>
      <c r="G27" s="210"/>
      <c r="H27" s="213"/>
      <c r="I27" s="195"/>
      <c r="J27" s="216"/>
      <c r="K27" s="195">
        <f t="shared" ca="1" si="18"/>
        <v>0</v>
      </c>
      <c r="L27" s="213"/>
      <c r="M27" s="195"/>
      <c r="N27" s="198"/>
      <c r="O27" s="5">
        <v>6</v>
      </c>
      <c r="P27" s="26"/>
      <c r="Q27" s="28" t="str">
        <f t="shared" si="22"/>
        <v/>
      </c>
      <c r="R27" s="29"/>
      <c r="S27" s="29"/>
      <c r="T27" s="30" t="str">
        <f t="shared" si="19"/>
        <v/>
      </c>
      <c r="U27" s="29"/>
      <c r="V27" s="29"/>
      <c r="W27" s="29"/>
      <c r="X27" s="13" t="str">
        <f t="shared" si="23"/>
        <v/>
      </c>
      <c r="Y27" s="31" t="str">
        <f t="shared" si="2"/>
        <v/>
      </c>
      <c r="Z27" s="32" t="str">
        <f t="shared" si="20"/>
        <v/>
      </c>
      <c r="AA27" s="31" t="str">
        <f t="shared" si="4"/>
        <v/>
      </c>
      <c r="AB27" s="32" t="str">
        <f t="shared" si="24"/>
        <v/>
      </c>
      <c r="AC27" s="33" t="str">
        <f t="shared" si="25"/>
        <v/>
      </c>
      <c r="AD27" s="34"/>
      <c r="AE27" s="35"/>
      <c r="AF27" s="25"/>
      <c r="AG27" s="36"/>
      <c r="AH27" s="36"/>
      <c r="AI27" s="35"/>
      <c r="AJ27" s="25"/>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81" customHeight="1" x14ac:dyDescent="0.3">
      <c r="A28" s="199">
        <v>4</v>
      </c>
      <c r="B28" s="202" t="s">
        <v>132</v>
      </c>
      <c r="C28" s="202" t="s">
        <v>245</v>
      </c>
      <c r="D28" s="202" t="s">
        <v>230</v>
      </c>
      <c r="E28" s="205" t="s">
        <v>244</v>
      </c>
      <c r="F28" s="202" t="s">
        <v>121</v>
      </c>
      <c r="G28" s="208">
        <v>397</v>
      </c>
      <c r="H28" s="211" t="str">
        <f>IF(G28&lt;=0,"",IF(G28&lt;=2,"Muy Baja",IF(G28&lt;=24,"Baja",IF(G28&lt;=500,"Media",IF(G28&lt;=5000,"Alta","Muy Alta")))))</f>
        <v>Media</v>
      </c>
      <c r="I28" s="193">
        <f>IF(H28="","",IF(H28="Muy Baja",0.2,IF(H28="Baja",0.4,IF(H28="Media",0.6,IF(H28="Alta",0.8,IF(H28="Muy Alta",1,))))))</f>
        <v>0.6</v>
      </c>
      <c r="J28" s="214" t="s">
        <v>149</v>
      </c>
      <c r="K28" s="193" t="str">
        <f ca="1">IF(NOT(ISERROR(MATCH(J28,'Tabla Impacto'!$B$221:$B$223,0))),'Tabla Impacto'!$F$223&amp;"Por favor no seleccionar los criterios de impacto(Afectación Económica o presupuestal y Pérdida Reputacional)",J28)</f>
        <v xml:space="preserve">     Entre 100 y 500 SMLMV </v>
      </c>
      <c r="L28" s="211" t="str">
        <f ca="1">IF(OR(K28='Tabla Impacto'!$C$11,K28='Tabla Impacto'!$D$11),"Leve",IF(OR(K28='Tabla Impacto'!$C$12,K28='Tabla Impacto'!$D$12),"Menor",IF(OR(K28='Tabla Impacto'!$C$13,K28='Tabla Impacto'!$D$13),"Moderado",IF(OR(K28='Tabla Impacto'!$C$14,K28='Tabla Impacto'!$D$14),"Mayor",IF(OR(K28='Tabla Impacto'!$C$15,K28='Tabla Impacto'!$D$15),"Catastrófico","")))))</f>
        <v>Mayor</v>
      </c>
      <c r="M28" s="193">
        <f ca="1">IF(L28="","",IF(L28="Leve",0.2,IF(L28="Menor",0.4,IF(L28="Moderado",0.6,IF(L28="Mayor",0.8,IF(L28="Catastrófico",1,))))))</f>
        <v>0.8</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Alto</v>
      </c>
      <c r="O28" s="5">
        <v>1</v>
      </c>
      <c r="P28" s="26" t="s">
        <v>246</v>
      </c>
      <c r="Q28" s="28" t="str">
        <f>IF(OR(R28="Preventivo",R28="Detectivo"),"Probabilidad",IF(R28="Correctivo","Impacto",""))</f>
        <v>Impacto</v>
      </c>
      <c r="R28" s="29" t="s">
        <v>16</v>
      </c>
      <c r="S28" s="29" t="s">
        <v>9</v>
      </c>
      <c r="T28" s="30" t="str">
        <f>IF(AND(R28="Preventivo",S28="Automático"),"50%",IF(AND(R28="Preventivo",S28="Manual"),"40%",IF(AND(R28="Detectivo",S28="Automático"),"40%",IF(AND(R28="Detectivo",S28="Manual"),"30%",IF(AND(R28="Correctivo",S28="Automático"),"35%",IF(AND(R28="Correctivo",S28="Manual"),"25%",""))))))</f>
        <v>25%</v>
      </c>
      <c r="U28" s="29" t="s">
        <v>19</v>
      </c>
      <c r="V28" s="29" t="s">
        <v>22</v>
      </c>
      <c r="W28" s="29" t="s">
        <v>117</v>
      </c>
      <c r="X28" s="13">
        <f>IFERROR(IF(Q28="Probabilidad",(I28-(+I28*T28)),IF(Q28="Impacto",I28,"")),"")</f>
        <v>0.6</v>
      </c>
      <c r="Y28" s="31" t="str">
        <f>IFERROR(IF(X28="","",IF(X28&lt;=0.2,"Muy Baja",IF(X28&lt;=0.4,"Baja",IF(X28&lt;=0.6,"Media",IF(X28&lt;=0.8,"Alta","Muy Alta"))))),"")</f>
        <v>Media</v>
      </c>
      <c r="Z28" s="32">
        <f>+X28</f>
        <v>0.6</v>
      </c>
      <c r="AA28" s="31" t="str">
        <f ca="1">IFERROR(IF(AB28="","",IF(AB28&lt;=0.2,"Leve",IF(AB28&lt;=0.4,"Menor",IF(AB28&lt;=0.6,"Moderado",IF(AB28&lt;=0.8,"Mayor","Catastrófico"))))),"")</f>
        <v>Moderado</v>
      </c>
      <c r="AB28" s="32">
        <f ca="1">IFERROR(IF(Q28="Impacto",(M28-(+M28*T28)),IF(Q28="Probabilidad",M28,"")),"")</f>
        <v>0.60000000000000009</v>
      </c>
      <c r="AC28" s="33"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34" t="s">
        <v>31</v>
      </c>
      <c r="AE28" s="26"/>
      <c r="AF28" s="35"/>
      <c r="AG28" s="141"/>
      <c r="AH28" s="36"/>
      <c r="AI28" s="35"/>
      <c r="AJ28" s="140"/>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59.25" customHeight="1" x14ac:dyDescent="0.3">
      <c r="A29" s="200"/>
      <c r="B29" s="203"/>
      <c r="C29" s="203"/>
      <c r="D29" s="203"/>
      <c r="E29" s="206"/>
      <c r="F29" s="203"/>
      <c r="G29" s="209"/>
      <c r="H29" s="212"/>
      <c r="I29" s="194"/>
      <c r="J29" s="215"/>
      <c r="K29" s="194">
        <f t="shared" ref="K29:K33" ca="1" si="26">IF(NOT(ISERROR(MATCH(J29,_xlfn.ANCHORARRAY(E40),0))),I42&amp;"Por favor no seleccionar los criterios de impacto",J29)</f>
        <v>0</v>
      </c>
      <c r="L29" s="212"/>
      <c r="M29" s="194"/>
      <c r="N29" s="197"/>
      <c r="O29" s="5">
        <v>2</v>
      </c>
      <c r="P29" s="26" t="s">
        <v>247</v>
      </c>
      <c r="Q29" s="28" t="str">
        <f>IF(OR(R29="Preventivo",R29="Detectivo"),"Probabilidad",IF(R29="Correctivo","Impacto",""))</f>
        <v>Probabilidad</v>
      </c>
      <c r="R29" s="29" t="s">
        <v>14</v>
      </c>
      <c r="S29" s="29" t="s">
        <v>9</v>
      </c>
      <c r="T29" s="30" t="str">
        <f t="shared" ref="T29:T33" si="27">IF(AND(R29="Preventivo",S29="Automático"),"50%",IF(AND(R29="Preventivo",S29="Manual"),"40%",IF(AND(R29="Detectivo",S29="Automático"),"40%",IF(AND(R29="Detectivo",S29="Manual"),"30%",IF(AND(R29="Correctivo",S29="Automático"),"35%",IF(AND(R29="Correctivo",S29="Manual"),"25%",""))))))</f>
        <v>40%</v>
      </c>
      <c r="U29" s="29" t="s">
        <v>19</v>
      </c>
      <c r="V29" s="29" t="s">
        <v>22</v>
      </c>
      <c r="W29" s="29" t="s">
        <v>117</v>
      </c>
      <c r="X29" s="139">
        <f>IFERROR(IF(AND(Q28="Probabilidad",Q29="Probabilidad"),(Z28-(+Z28*T29)),IF(Q29="Probabilidad",(I28-(+I28*T29)),IF(Q29="Impacto",Z28,""))),"")</f>
        <v>0.36</v>
      </c>
      <c r="Y29" s="31" t="str">
        <f t="shared" ref="Y29:Y30" si="28">IFERROR(IF(X29="","",IF(X29&lt;=0.2,"Muy Baja",IF(X29&lt;=0.4,"Baja",IF(X29&lt;=0.6,"Media",IF(X29&lt;=0.8,"Alta","Muy Alta"))))),"")</f>
        <v>Baja</v>
      </c>
      <c r="Z29" s="32">
        <f t="shared" ref="Z29:Z30" si="29">+X29</f>
        <v>0.36</v>
      </c>
      <c r="AA29" s="31" t="str">
        <f t="shared" ref="AA29:AA30" ca="1" si="30">IFERROR(IF(AB29="","",IF(AB29&lt;=0.2,"Leve",IF(AB29&lt;=0.4,"Menor",IF(AB29&lt;=0.6,"Moderado",IF(AB29&lt;=0.8,"Mayor","Catastrófico"))))),"")</f>
        <v>Moderado</v>
      </c>
      <c r="AB29" s="32">
        <f ca="1">IFERROR(IF(AND(Q28="Impacto",Q29="Impacto"),(AB28-(+AB28*T29)),IF(AND(Q28="Probabilidad",Q29="Impacto"),(AB27-(+AB27*T29)),IF(Q29="Probabilidad",AB28,""))),"")</f>
        <v>0.60000000000000009</v>
      </c>
      <c r="AC29" s="33" t="str">
        <f t="shared" ref="AC29:AC30" ca="1" si="3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Moderado</v>
      </c>
      <c r="AD29" s="34" t="s">
        <v>31</v>
      </c>
      <c r="AE29" s="26"/>
      <c r="AF29" s="35"/>
      <c r="AG29" s="36"/>
      <c r="AH29" s="36"/>
      <c r="AI29" s="35"/>
      <c r="AJ29" s="140"/>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row>
    <row r="30" spans="1:68" ht="71.25" customHeight="1" x14ac:dyDescent="0.3">
      <c r="A30" s="200"/>
      <c r="B30" s="203"/>
      <c r="C30" s="203"/>
      <c r="D30" s="203"/>
      <c r="E30" s="206"/>
      <c r="F30" s="203"/>
      <c r="G30" s="209"/>
      <c r="H30" s="212"/>
      <c r="I30" s="194"/>
      <c r="J30" s="215"/>
      <c r="K30" s="194">
        <f t="shared" ca="1" si="26"/>
        <v>0</v>
      </c>
      <c r="L30" s="212"/>
      <c r="M30" s="194"/>
      <c r="N30" s="197"/>
      <c r="O30" s="5">
        <v>3</v>
      </c>
      <c r="P30" s="27" t="s">
        <v>248</v>
      </c>
      <c r="Q30" s="28" t="str">
        <f>IF(OR(R30="Preventivo",R30="Detectivo"),"Probabilidad",IF(R30="Correctivo","Impacto",""))</f>
        <v>Probabilidad</v>
      </c>
      <c r="R30" s="29" t="s">
        <v>14</v>
      </c>
      <c r="S30" s="29" t="s">
        <v>9</v>
      </c>
      <c r="T30" s="30" t="str">
        <f t="shared" si="27"/>
        <v>40%</v>
      </c>
      <c r="U30" s="29" t="s">
        <v>19</v>
      </c>
      <c r="V30" s="29" t="s">
        <v>22</v>
      </c>
      <c r="W30" s="29" t="s">
        <v>117</v>
      </c>
      <c r="X30" s="13">
        <f>IFERROR(IF(AND(Q29="Probabilidad",Q30="Probabilidad"),(Z29-(+Z29*T30)),IF(AND(Q29="Impacto",Q30="Probabilidad"),(Z28-(+Z28*T30)),IF(Q30="Impacto",Z29,""))),"")</f>
        <v>0.216</v>
      </c>
      <c r="Y30" s="31" t="str">
        <f t="shared" si="28"/>
        <v>Baja</v>
      </c>
      <c r="Z30" s="32">
        <f t="shared" si="29"/>
        <v>0.216</v>
      </c>
      <c r="AA30" s="31" t="str">
        <f t="shared" ca="1" si="30"/>
        <v>Moderado</v>
      </c>
      <c r="AB30" s="32">
        <f ca="1">IFERROR(IF(AND(Q29="Impacto",Q30="Impacto"),(AB29-(+AB29*T30)),IF(AND(Q29="Probabilidad",Q30="Impacto"),(AB28-(+AB28*T30)),IF(Q30="Probabilidad",AB29,""))),"")</f>
        <v>0.60000000000000009</v>
      </c>
      <c r="AC30" s="33" t="str">
        <f t="shared" ca="1" si="31"/>
        <v>Moderado</v>
      </c>
      <c r="AD30" s="34" t="s">
        <v>31</v>
      </c>
      <c r="AE30" s="27"/>
      <c r="AF30" s="35"/>
      <c r="AG30" s="36"/>
      <c r="AH30" s="36"/>
      <c r="AI30" s="35"/>
      <c r="AJ30" s="140"/>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row>
    <row r="31" spans="1:68" ht="23.25" customHeight="1" x14ac:dyDescent="0.3">
      <c r="A31" s="200"/>
      <c r="B31" s="203"/>
      <c r="C31" s="203"/>
      <c r="D31" s="203"/>
      <c r="E31" s="206"/>
      <c r="F31" s="203"/>
      <c r="G31" s="209"/>
      <c r="H31" s="212"/>
      <c r="I31" s="194"/>
      <c r="J31" s="215"/>
      <c r="K31" s="194">
        <f t="shared" ca="1" si="26"/>
        <v>0</v>
      </c>
      <c r="L31" s="212"/>
      <c r="M31" s="194"/>
      <c r="N31" s="197"/>
      <c r="O31" s="5">
        <v>4</v>
      </c>
      <c r="P31" s="26"/>
      <c r="Q31" s="28" t="str">
        <f t="shared" ref="Q31:Q33" si="32">IF(OR(R31="Preventivo",R31="Detectivo"),"Probabilidad",IF(R31="Correctivo","Impacto",""))</f>
        <v/>
      </c>
      <c r="R31" s="29"/>
      <c r="S31" s="29"/>
      <c r="T31" s="30" t="str">
        <f t="shared" si="27"/>
        <v/>
      </c>
      <c r="U31" s="29"/>
      <c r="V31" s="29"/>
      <c r="W31" s="29"/>
      <c r="X31" s="13"/>
      <c r="Y31" s="31" t="str">
        <f t="shared" si="2"/>
        <v/>
      </c>
      <c r="Z31" s="32"/>
      <c r="AA31" s="31" t="str">
        <f t="shared" si="4"/>
        <v/>
      </c>
      <c r="AB31" s="32" t="str">
        <f t="shared" ref="AB31:AB33" si="33">IFERROR(IF(AND(Q30="Impacto",Q31="Impacto"),(AB30-(+AB30*T31)),IF(AND(Q30="Probabilidad",Q31="Impacto"),(AB29-(+AB29*T31)),IF(Q31="Probabilidad",AB30,""))),"")</f>
        <v/>
      </c>
      <c r="AC31" s="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34"/>
      <c r="AE31" s="26"/>
      <c r="AF31" s="35"/>
      <c r="AG31" s="36"/>
      <c r="AH31" s="36"/>
      <c r="AI31" s="35"/>
      <c r="AJ31" s="140"/>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row>
    <row r="32" spans="1:68" ht="23.25" customHeight="1" x14ac:dyDescent="0.3">
      <c r="A32" s="200"/>
      <c r="B32" s="203"/>
      <c r="C32" s="203"/>
      <c r="D32" s="203"/>
      <c r="E32" s="206"/>
      <c r="F32" s="203"/>
      <c r="G32" s="209"/>
      <c r="H32" s="212"/>
      <c r="I32" s="194"/>
      <c r="J32" s="215"/>
      <c r="K32" s="194">
        <f t="shared" ca="1" si="26"/>
        <v>0</v>
      </c>
      <c r="L32" s="212"/>
      <c r="M32" s="194"/>
      <c r="N32" s="197"/>
      <c r="O32" s="5">
        <v>5</v>
      </c>
      <c r="P32" s="26"/>
      <c r="Q32" s="28" t="str">
        <f t="shared" si="32"/>
        <v/>
      </c>
      <c r="R32" s="29"/>
      <c r="S32" s="29"/>
      <c r="T32" s="30" t="str">
        <f t="shared" si="27"/>
        <v/>
      </c>
      <c r="U32" s="29"/>
      <c r="V32" s="29"/>
      <c r="W32" s="29"/>
      <c r="X32" s="13"/>
      <c r="Y32" s="31" t="str">
        <f t="shared" si="2"/>
        <v/>
      </c>
      <c r="Z32" s="32"/>
      <c r="AA32" s="31" t="str">
        <f t="shared" si="4"/>
        <v/>
      </c>
      <c r="AB32" s="32" t="str">
        <f t="shared" si="33"/>
        <v/>
      </c>
      <c r="AC32" s="33" t="str">
        <f t="shared" ref="AC32" si="3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34"/>
      <c r="AE32" s="26"/>
      <c r="AF32" s="35"/>
      <c r="AG32" s="36"/>
      <c r="AH32" s="36"/>
      <c r="AI32" s="35"/>
      <c r="AJ32" s="140"/>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row>
    <row r="33" spans="1:68" ht="23.25" customHeight="1" x14ac:dyDescent="0.3">
      <c r="A33" s="201"/>
      <c r="B33" s="204"/>
      <c r="C33" s="204"/>
      <c r="D33" s="204"/>
      <c r="E33" s="207"/>
      <c r="F33" s="204"/>
      <c r="G33" s="210"/>
      <c r="H33" s="213"/>
      <c r="I33" s="195"/>
      <c r="J33" s="216"/>
      <c r="K33" s="195">
        <f t="shared" ca="1" si="26"/>
        <v>0</v>
      </c>
      <c r="L33" s="213"/>
      <c r="M33" s="195"/>
      <c r="N33" s="198"/>
      <c r="O33" s="5">
        <v>6</v>
      </c>
      <c r="P33" s="26"/>
      <c r="Q33" s="28" t="str">
        <f t="shared" si="32"/>
        <v/>
      </c>
      <c r="R33" s="29"/>
      <c r="S33" s="29"/>
      <c r="T33" s="30" t="str">
        <f t="shared" si="27"/>
        <v/>
      </c>
      <c r="U33" s="29"/>
      <c r="V33" s="29"/>
      <c r="W33" s="29"/>
      <c r="X33" s="13"/>
      <c r="Y33" s="31" t="str">
        <f t="shared" si="2"/>
        <v/>
      </c>
      <c r="Z33" s="32"/>
      <c r="AA33" s="31" t="str">
        <f>IFERROR(IF(AB33="","",IF(AB33&lt;=0.2,"Leve",IF(AB33&lt;=0.4,"Menor",IF(AB33&lt;=0.6,"Moderado",IF(AB33&lt;=0.8,"Mayor","Catastrófico"))))),"")</f>
        <v/>
      </c>
      <c r="AB33" s="32" t="str">
        <f t="shared" si="33"/>
        <v/>
      </c>
      <c r="AC33" s="3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34"/>
      <c r="AE33" s="35"/>
      <c r="AF33" s="25"/>
      <c r="AG33" s="36"/>
      <c r="AH33" s="36"/>
      <c r="AI33" s="35"/>
      <c r="AJ33" s="25"/>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row>
    <row r="34" spans="1:68" ht="56.25" customHeight="1" x14ac:dyDescent="0.3">
      <c r="A34" s="199">
        <v>5</v>
      </c>
      <c r="B34" s="202" t="s">
        <v>132</v>
      </c>
      <c r="C34" s="202" t="s">
        <v>245</v>
      </c>
      <c r="D34" s="202" t="s">
        <v>231</v>
      </c>
      <c r="E34" s="205" t="s">
        <v>249</v>
      </c>
      <c r="F34" s="202" t="s">
        <v>123</v>
      </c>
      <c r="G34" s="208">
        <v>397</v>
      </c>
      <c r="H34" s="211" t="str">
        <f>IF(G34&lt;=0,"",IF(G34&lt;=2,"Muy Baja",IF(G34&lt;=24,"Baja",IF(G34&lt;=500,"Media",IF(G34&lt;=5000,"Alta","Muy Alta")))))</f>
        <v>Media</v>
      </c>
      <c r="I34" s="193">
        <f>IF(H34="","",IF(H34="Muy Baja",0.2,IF(H34="Baja",0.4,IF(H34="Media",0.6,IF(H34="Alta",0.8,IF(H34="Muy Alta",1,))))))</f>
        <v>0.6</v>
      </c>
      <c r="J34" s="214" t="s">
        <v>149</v>
      </c>
      <c r="K34" s="193" t="str">
        <f ca="1">IF(NOT(ISERROR(MATCH(J34,'Tabla Impacto'!$B$221:$B$223,0))),'Tabla Impacto'!$F$223&amp;"Por favor no seleccionar los criterios de impacto(Afectación Económica o presupuestal y Pérdida Reputacional)",J34)</f>
        <v xml:space="preserve">     Entre 100 y 500 SMLMV </v>
      </c>
      <c r="L34" s="211" t="str">
        <f ca="1">IF(OR(K34='Tabla Impacto'!$C$11,K34='Tabla Impacto'!$D$11),"Leve",IF(OR(K34='Tabla Impacto'!$C$12,K34='Tabla Impacto'!$D$12),"Menor",IF(OR(K34='Tabla Impacto'!$C$13,K34='Tabla Impacto'!$D$13),"Moderado",IF(OR(K34='Tabla Impacto'!$C$14,K34='Tabla Impacto'!$D$14),"Mayor",IF(OR(K34='Tabla Impacto'!$C$15,K34='Tabla Impacto'!$D$15),"Catastrófico","")))))</f>
        <v>Mayor</v>
      </c>
      <c r="M34" s="193">
        <f ca="1">IF(L34="","",IF(L34="Leve",0.2,IF(L34="Menor",0.4,IF(L34="Moderado",0.6,IF(L34="Mayor",0.8,IF(L34="Catastrófico",1,))))))</f>
        <v>0.8</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5">
        <v>1</v>
      </c>
      <c r="P34" s="26" t="s">
        <v>247</v>
      </c>
      <c r="Q34" s="28" t="str">
        <f>IF(OR(R34="Preventivo",R34="Detectivo"),"Probabilidad",IF(R34="Correctivo","Impacto",""))</f>
        <v>Probabilidad</v>
      </c>
      <c r="R34" s="29" t="s">
        <v>15</v>
      </c>
      <c r="S34" s="29" t="s">
        <v>9</v>
      </c>
      <c r="T34" s="30" t="str">
        <f>IF(AND(R34="Preventivo",S34="Automático"),"50%",IF(AND(R34="Preventivo",S34="Manual"),"40%",IF(AND(R34="Detectivo",S34="Automático"),"40%",IF(AND(R34="Detectivo",S34="Manual"),"30%",IF(AND(R34="Correctivo",S34="Automático"),"35%",IF(AND(R34="Correctivo",S34="Manual"),"25%",""))))))</f>
        <v>30%</v>
      </c>
      <c r="U34" s="29" t="s">
        <v>19</v>
      </c>
      <c r="V34" s="29" t="s">
        <v>22</v>
      </c>
      <c r="W34" s="29" t="s">
        <v>117</v>
      </c>
      <c r="X34" s="13">
        <f>IFERROR(IF(Q34="Probabilidad",(I34-(+I34*T34)),IF(Q34="Impacto",I34,"")),"")</f>
        <v>0.42</v>
      </c>
      <c r="Y34" s="31" t="str">
        <f>IFERROR(IF(X34="","",IF(X34&lt;=0.2,"Muy Baja",IF(X34&lt;=0.4,"Baja",IF(X34&lt;=0.6,"Media",IF(X34&lt;=0.8,"Alta","Muy Alta"))))),"")</f>
        <v>Media</v>
      </c>
      <c r="Z34" s="32">
        <f>+X34</f>
        <v>0.42</v>
      </c>
      <c r="AA34" s="31" t="str">
        <f ca="1">IFERROR(IF(AB34="","",IF(AB34&lt;=0.2,"Leve",IF(AB34&lt;=0.4,"Menor",IF(AB34&lt;=0.6,"Moderado",IF(AB34&lt;=0.8,"Mayor","Catastrófico"))))),"")</f>
        <v>Mayor</v>
      </c>
      <c r="AB34" s="32">
        <f ca="1">IFERROR(IF(Q34="Impacto",(M34-(+M34*T34)),IF(Q34="Probabilidad",M34,"")),"")</f>
        <v>0.8</v>
      </c>
      <c r="AC34" s="33"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34" t="s">
        <v>31</v>
      </c>
      <c r="AE34" s="35"/>
      <c r="AF34" s="25"/>
      <c r="AG34" s="36"/>
      <c r="AH34" s="36"/>
      <c r="AI34" s="35"/>
      <c r="AJ34" s="25"/>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row>
    <row r="35" spans="1:68" ht="50.25" customHeight="1" x14ac:dyDescent="0.3">
      <c r="A35" s="200"/>
      <c r="B35" s="203"/>
      <c r="C35" s="203"/>
      <c r="D35" s="203"/>
      <c r="E35" s="206"/>
      <c r="F35" s="203"/>
      <c r="G35" s="209"/>
      <c r="H35" s="212"/>
      <c r="I35" s="194"/>
      <c r="J35" s="215"/>
      <c r="K35" s="194">
        <f t="shared" ref="K35:K39" ca="1" si="35">IF(NOT(ISERROR(MATCH(J35,_xlfn.ANCHORARRAY(E46),0))),I48&amp;"Por favor no seleccionar los criterios de impacto",J35)</f>
        <v>0</v>
      </c>
      <c r="L35" s="212"/>
      <c r="M35" s="194"/>
      <c r="N35" s="197"/>
      <c r="O35" s="5">
        <v>2</v>
      </c>
      <c r="P35" s="26" t="s">
        <v>248</v>
      </c>
      <c r="Q35" s="28" t="str">
        <f>IF(OR(R35="Preventivo",R35="Detectivo"),"Probabilidad",IF(R35="Correctivo","Impacto",""))</f>
        <v>Probabilidad</v>
      </c>
      <c r="R35" s="29" t="s">
        <v>14</v>
      </c>
      <c r="S35" s="29" t="s">
        <v>9</v>
      </c>
      <c r="T35" s="30" t="str">
        <f t="shared" ref="T35:T39" si="36">IF(AND(R35="Preventivo",S35="Automático"),"50%",IF(AND(R35="Preventivo",S35="Manual"),"40%",IF(AND(R35="Detectivo",S35="Automático"),"40%",IF(AND(R35="Detectivo",S35="Manual"),"30%",IF(AND(R35="Correctivo",S35="Automático"),"35%",IF(AND(R35="Correctivo",S35="Manual"),"25%",""))))))</f>
        <v>40%</v>
      </c>
      <c r="U35" s="29" t="s">
        <v>19</v>
      </c>
      <c r="V35" s="29" t="s">
        <v>22</v>
      </c>
      <c r="W35" s="29" t="s">
        <v>117</v>
      </c>
      <c r="X35" s="13">
        <f>IFERROR(IF(AND(Q34="Probabilidad",Q35="Probabilidad"),(Z34-(+Z34*T35)),IF(Q35="Probabilidad",(I34-(+I34*T35)),IF(Q35="Impacto",Z34,""))),"")</f>
        <v>0.252</v>
      </c>
      <c r="Y35" s="31" t="str">
        <f t="shared" si="2"/>
        <v>Baja</v>
      </c>
      <c r="Z35" s="32">
        <f t="shared" ref="Z35:Z39" si="37">+X35</f>
        <v>0.252</v>
      </c>
      <c r="AA35" s="31" t="str">
        <f t="shared" ca="1" si="4"/>
        <v>Moderado</v>
      </c>
      <c r="AB35" s="32">
        <f ca="1">IFERROR(IF(AND(Q34="Impacto",Q35="Impacto"),(AB28-(+AB28*T35)),IF(Q35="Impacto",($M$34-(+$M$34*T35)),IF(Q35="Probabilidad",AB28,""))),"")</f>
        <v>0.60000000000000009</v>
      </c>
      <c r="AC35" s="33" t="str">
        <f t="shared" ref="AC35:AC36" ca="1" si="3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Moderado</v>
      </c>
      <c r="AD35" s="34" t="s">
        <v>31</v>
      </c>
      <c r="AE35" s="35"/>
      <c r="AF35" s="25"/>
      <c r="AG35" s="36"/>
      <c r="AH35" s="36"/>
      <c r="AI35" s="35"/>
      <c r="AJ35" s="25"/>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row>
    <row r="36" spans="1:68" ht="89.25" customHeight="1" x14ac:dyDescent="0.3">
      <c r="A36" s="200"/>
      <c r="B36" s="203"/>
      <c r="C36" s="203"/>
      <c r="D36" s="203"/>
      <c r="E36" s="206"/>
      <c r="F36" s="203"/>
      <c r="G36" s="209"/>
      <c r="H36" s="212"/>
      <c r="I36" s="194"/>
      <c r="J36" s="215"/>
      <c r="K36" s="194">
        <f t="shared" ca="1" si="35"/>
        <v>0</v>
      </c>
      <c r="L36" s="212"/>
      <c r="M36" s="194"/>
      <c r="N36" s="197"/>
      <c r="O36" s="5">
        <v>3</v>
      </c>
      <c r="P36" s="27" t="s">
        <v>250</v>
      </c>
      <c r="Q36" s="28" t="str">
        <f>IF(OR(R36="Preventivo",R36="Detectivo"),"Probabilidad",IF(R36="Correctivo","Impacto",""))</f>
        <v>Probabilidad</v>
      </c>
      <c r="R36" s="29" t="s">
        <v>14</v>
      </c>
      <c r="S36" s="29" t="s">
        <v>9</v>
      </c>
      <c r="T36" s="30" t="str">
        <f t="shared" si="36"/>
        <v>40%</v>
      </c>
      <c r="U36" s="29" t="s">
        <v>19</v>
      </c>
      <c r="V36" s="29" t="s">
        <v>23</v>
      </c>
      <c r="W36" s="29" t="s">
        <v>117</v>
      </c>
      <c r="X36" s="13">
        <f>IFERROR(IF(AND(Q35="Probabilidad",Q36="Probabilidad"),(Z35-(+Z35*T36)),IF(AND(Q35="Impacto",Q36="Probabilidad"),(Z34-(+Z34*T36)),IF(Q36="Impacto",Z35,""))),"")</f>
        <v>0.1512</v>
      </c>
      <c r="Y36" s="31" t="str">
        <f t="shared" si="2"/>
        <v>Muy Baja</v>
      </c>
      <c r="Z36" s="32">
        <f t="shared" si="37"/>
        <v>0.1512</v>
      </c>
      <c r="AA36" s="31" t="str">
        <f t="shared" ca="1" si="4"/>
        <v>Moderado</v>
      </c>
      <c r="AB36" s="32">
        <f ca="1">IFERROR(IF(AND(Q35="Impacto",Q36="Impacto"),(AB35-(+AB35*T36)),IF(AND(Q35="Probabilidad",Q36="Impacto"),(AB34-(+AB34*T36)),IF(Q36="Probabilidad",AB35,""))),"")</f>
        <v>0.60000000000000009</v>
      </c>
      <c r="AC36" s="33" t="str">
        <f t="shared" ca="1" si="38"/>
        <v>Moderado</v>
      </c>
      <c r="AD36" s="34" t="s">
        <v>31</v>
      </c>
      <c r="AE36" s="35"/>
      <c r="AF36" s="25"/>
      <c r="AG36" s="36"/>
      <c r="AH36" s="36"/>
      <c r="AI36" s="35"/>
      <c r="AJ36" s="25"/>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row>
    <row r="37" spans="1:68" ht="23.25" customHeight="1" x14ac:dyDescent="0.3">
      <c r="A37" s="200"/>
      <c r="B37" s="203"/>
      <c r="C37" s="203"/>
      <c r="D37" s="203"/>
      <c r="E37" s="206"/>
      <c r="F37" s="203"/>
      <c r="G37" s="209"/>
      <c r="H37" s="212"/>
      <c r="I37" s="194"/>
      <c r="J37" s="215"/>
      <c r="K37" s="194">
        <f t="shared" ca="1" si="35"/>
        <v>0</v>
      </c>
      <c r="L37" s="212"/>
      <c r="M37" s="194"/>
      <c r="N37" s="197"/>
      <c r="O37" s="5">
        <v>4</v>
      </c>
      <c r="P37" s="26"/>
      <c r="Q37" s="28" t="str">
        <f t="shared" ref="Q37:Q39" si="39">IF(OR(R37="Preventivo",R37="Detectivo"),"Probabilidad",IF(R37="Correctivo","Impacto",""))</f>
        <v/>
      </c>
      <c r="R37" s="29"/>
      <c r="S37" s="29"/>
      <c r="T37" s="30" t="str">
        <f t="shared" si="36"/>
        <v/>
      </c>
      <c r="U37" s="29"/>
      <c r="V37" s="29"/>
      <c r="W37" s="29"/>
      <c r="X37" s="13" t="str">
        <f t="shared" ref="X37:X39" si="40">IFERROR(IF(AND(Q36="Probabilidad",Q37="Probabilidad"),(Z36-(+Z36*T37)),IF(AND(Q36="Impacto",Q37="Probabilidad"),(Z35-(+Z35*T37)),IF(Q37="Impacto",Z36,""))),"")</f>
        <v/>
      </c>
      <c r="Y37" s="31" t="str">
        <f t="shared" si="2"/>
        <v/>
      </c>
      <c r="Z37" s="32" t="str">
        <f t="shared" si="37"/>
        <v/>
      </c>
      <c r="AA37" s="31" t="str">
        <f t="shared" si="4"/>
        <v/>
      </c>
      <c r="AB37" s="32" t="str">
        <f t="shared" ref="AB37:AB39" si="41">IFERROR(IF(AND(Q36="Impacto",Q37="Impacto"),(AB36-(+AB36*T37)),IF(AND(Q36="Probabilidad",Q37="Impacto"),(AB35-(+AB35*T37)),IF(Q37="Probabilidad",AB36,""))),"")</f>
        <v/>
      </c>
      <c r="AC37" s="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34"/>
      <c r="AE37" s="35"/>
      <c r="AF37" s="25"/>
      <c r="AG37" s="36"/>
      <c r="AH37" s="36"/>
      <c r="AI37" s="35"/>
      <c r="AJ37" s="25"/>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row>
    <row r="38" spans="1:68" ht="23.25" customHeight="1" x14ac:dyDescent="0.3">
      <c r="A38" s="200"/>
      <c r="B38" s="203"/>
      <c r="C38" s="203"/>
      <c r="D38" s="203"/>
      <c r="E38" s="206"/>
      <c r="F38" s="203"/>
      <c r="G38" s="209"/>
      <c r="H38" s="212"/>
      <c r="I38" s="194"/>
      <c r="J38" s="215"/>
      <c r="K38" s="194">
        <f t="shared" ca="1" si="35"/>
        <v>0</v>
      </c>
      <c r="L38" s="212"/>
      <c r="M38" s="194"/>
      <c r="N38" s="197"/>
      <c r="O38" s="5">
        <v>5</v>
      </c>
      <c r="P38" s="26"/>
      <c r="Q38" s="28" t="str">
        <f t="shared" si="39"/>
        <v/>
      </c>
      <c r="R38" s="29"/>
      <c r="S38" s="29"/>
      <c r="T38" s="30" t="str">
        <f t="shared" si="36"/>
        <v/>
      </c>
      <c r="U38" s="29"/>
      <c r="V38" s="29"/>
      <c r="W38" s="29"/>
      <c r="X38" s="13" t="str">
        <f t="shared" si="40"/>
        <v/>
      </c>
      <c r="Y38" s="31" t="str">
        <f t="shared" si="2"/>
        <v/>
      </c>
      <c r="Z38" s="32" t="str">
        <f t="shared" si="37"/>
        <v/>
      </c>
      <c r="AA38" s="31" t="str">
        <f t="shared" si="4"/>
        <v/>
      </c>
      <c r="AB38" s="32" t="str">
        <f t="shared" si="41"/>
        <v/>
      </c>
      <c r="AC38" s="33" t="str">
        <f t="shared" ref="AC38:AC39" si="42">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34"/>
      <c r="AE38" s="35"/>
      <c r="AF38" s="25"/>
      <c r="AG38" s="36"/>
      <c r="AH38" s="36"/>
      <c r="AI38" s="35"/>
      <c r="AJ38" s="25"/>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row>
    <row r="39" spans="1:68" ht="23.25" customHeight="1" x14ac:dyDescent="0.3">
      <c r="A39" s="201"/>
      <c r="B39" s="204"/>
      <c r="C39" s="204"/>
      <c r="D39" s="204"/>
      <c r="E39" s="207"/>
      <c r="F39" s="204"/>
      <c r="G39" s="210"/>
      <c r="H39" s="213"/>
      <c r="I39" s="195"/>
      <c r="J39" s="216"/>
      <c r="K39" s="195">
        <f t="shared" ca="1" si="35"/>
        <v>0</v>
      </c>
      <c r="L39" s="213"/>
      <c r="M39" s="195"/>
      <c r="N39" s="198"/>
      <c r="O39" s="5">
        <v>6</v>
      </c>
      <c r="P39" s="26"/>
      <c r="Q39" s="28" t="str">
        <f t="shared" si="39"/>
        <v/>
      </c>
      <c r="R39" s="29"/>
      <c r="S39" s="29"/>
      <c r="T39" s="30" t="str">
        <f t="shared" si="36"/>
        <v/>
      </c>
      <c r="U39" s="29"/>
      <c r="V39" s="29"/>
      <c r="W39" s="29"/>
      <c r="X39" s="13" t="str">
        <f t="shared" si="40"/>
        <v/>
      </c>
      <c r="Y39" s="31" t="str">
        <f t="shared" si="2"/>
        <v/>
      </c>
      <c r="Z39" s="32" t="str">
        <f t="shared" si="37"/>
        <v/>
      </c>
      <c r="AA39" s="31" t="str">
        <f t="shared" si="4"/>
        <v/>
      </c>
      <c r="AB39" s="32" t="str">
        <f t="shared" si="41"/>
        <v/>
      </c>
      <c r="AC39" s="33" t="str">
        <f t="shared" si="42"/>
        <v/>
      </c>
      <c r="AD39" s="34"/>
      <c r="AE39" s="35"/>
      <c r="AF39" s="25"/>
      <c r="AG39" s="36"/>
      <c r="AH39" s="36"/>
      <c r="AI39" s="35"/>
      <c r="AJ39" s="25"/>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row>
    <row r="40" spans="1:68" ht="69" customHeight="1" x14ac:dyDescent="0.3">
      <c r="A40" s="199">
        <v>6</v>
      </c>
      <c r="B40" s="202" t="s">
        <v>130</v>
      </c>
      <c r="C40" s="202" t="s">
        <v>232</v>
      </c>
      <c r="D40" s="202" t="s">
        <v>233</v>
      </c>
      <c r="E40" s="205" t="s">
        <v>234</v>
      </c>
      <c r="F40" s="202" t="s">
        <v>121</v>
      </c>
      <c r="G40" s="208">
        <v>394</v>
      </c>
      <c r="H40" s="211" t="str">
        <f>IF(G40&lt;=0,"",IF(G40&lt;=2,"Muy Baja",IF(G40&lt;=24,"Baja",IF(G40&lt;=500,"Media",IF(G40&lt;=5000,"Alta","Muy Alta")))))</f>
        <v>Media</v>
      </c>
      <c r="I40" s="193">
        <f>IF(H40="","",IF(H40="Muy Baja",0.2,IF(H40="Baja",0.4,IF(H40="Media",0.6,IF(H40="Alta",0.8,IF(H40="Muy Alta",1,))))))</f>
        <v>0.6</v>
      </c>
      <c r="J40" s="214" t="s">
        <v>154</v>
      </c>
      <c r="K40" s="193" t="str">
        <f ca="1">IF(NOT(ISERROR(MATCH(J40,'Tabla Impacto'!$B$221:$B$223,0))),'Tabla Impacto'!$F$223&amp;"Por favor no seleccionar los criterios de impacto(Afectación Económica o presupuestal y Pérdida Reputacional)",J40)</f>
        <v xml:space="preserve">     El riesgo afecta la imagen de de la entidad con efecto publicitario sostenido a nivel de sector administrativo, nivel departamental o municipal</v>
      </c>
      <c r="L40" s="211" t="str">
        <f ca="1">IF(OR(K40='Tabla Impacto'!$C$11,K40='Tabla Impacto'!$D$11),"Leve",IF(OR(K40='Tabla Impacto'!$C$12,K40='Tabla Impacto'!$D$12),"Menor",IF(OR(K40='Tabla Impacto'!$C$13,K40='Tabla Impacto'!$D$13),"Moderado",IF(OR(K40='Tabla Impacto'!$C$14,K40='Tabla Impacto'!$D$14),"Mayor",IF(OR(K40='Tabla Impacto'!$C$15,K40='Tabla Impacto'!$D$15),"Catastrófico","")))))</f>
        <v>Mayor</v>
      </c>
      <c r="M40" s="193">
        <f ca="1">IF(L40="","",IF(L40="Leve",0.2,IF(L40="Menor",0.4,IF(L40="Moderado",0.6,IF(L40="Mayor",0.8,IF(L40="Catastrófico",1,))))))</f>
        <v>0.8</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Alto</v>
      </c>
      <c r="O40" s="5">
        <v>1</v>
      </c>
      <c r="P40" s="26" t="s">
        <v>235</v>
      </c>
      <c r="Q40" s="28" t="str">
        <f>IF(OR(R40="Preventivo",R40="Detectivo"),"Probabilidad",IF(R40="Correctivo","Impacto",""))</f>
        <v>Probabilidad</v>
      </c>
      <c r="R40" s="29" t="s">
        <v>14</v>
      </c>
      <c r="S40" s="29" t="s">
        <v>9</v>
      </c>
      <c r="T40" s="30" t="str">
        <f>IF(AND(R40="Preventivo",S40="Automático"),"50%",IF(AND(R40="Preventivo",S40="Manual"),"40%",IF(AND(R40="Detectivo",S40="Automático"),"40%",IF(AND(R40="Detectivo",S40="Manual"),"30%",IF(AND(R40="Correctivo",S40="Automático"),"35%",IF(AND(R40="Correctivo",S40="Manual"),"25%",""))))))</f>
        <v>40%</v>
      </c>
      <c r="U40" s="29" t="s">
        <v>19</v>
      </c>
      <c r="V40" s="29" t="s">
        <v>22</v>
      </c>
      <c r="W40" s="29" t="s">
        <v>117</v>
      </c>
      <c r="X40" s="13">
        <f>IFERROR(IF(Q40="Probabilidad",(I40-(+I40*T40)),IF(Q40="Impacto",I40,"")),"")</f>
        <v>0.36</v>
      </c>
      <c r="Y40" s="31" t="str">
        <f>IFERROR(IF(X40="","",IF(X40&lt;=0.2,"Muy Baja",IF(X40&lt;=0.4,"Baja",IF(X40&lt;=0.6,"Media",IF(X40&lt;=0.8,"Alta","Muy Alta"))))),"")</f>
        <v>Baja</v>
      </c>
      <c r="Z40" s="32">
        <f>+X40</f>
        <v>0.36</v>
      </c>
      <c r="AA40" s="31" t="str">
        <f ca="1">IFERROR(IF(AB40="","",IF(AB40&lt;=0.2,"Leve",IF(AB40&lt;=0.4,"Menor",IF(AB40&lt;=0.6,"Moderado",IF(AB40&lt;=0.8,"Mayor","Catastrófico"))))),"")</f>
        <v>Mayor</v>
      </c>
      <c r="AB40" s="32">
        <f ca="1">IFERROR(IF(Q40="Impacto",(M40-(+M40*T40)),IF(Q40="Probabilidad",M40,"")),"")</f>
        <v>0.8</v>
      </c>
      <c r="AC40" s="33"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Alto</v>
      </c>
      <c r="AD40" s="34" t="s">
        <v>31</v>
      </c>
      <c r="AE40" s="35"/>
      <c r="AF40" s="25"/>
      <c r="AG40" s="36"/>
      <c r="AH40" s="36"/>
      <c r="AI40" s="35"/>
      <c r="AJ40" s="25"/>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row>
    <row r="41" spans="1:68" ht="59.25" customHeight="1" x14ac:dyDescent="0.3">
      <c r="A41" s="200"/>
      <c r="B41" s="203"/>
      <c r="C41" s="203"/>
      <c r="D41" s="203"/>
      <c r="E41" s="206"/>
      <c r="F41" s="203"/>
      <c r="G41" s="209"/>
      <c r="H41" s="212"/>
      <c r="I41" s="194"/>
      <c r="J41" s="215"/>
      <c r="K41" s="194">
        <f ca="1">IF(NOT(ISERROR(MATCH(J41,_xlfn.ANCHORARRAY(E52),0))),I54&amp;"Por favor no seleccionar los criterios de impacto",J41)</f>
        <v>0</v>
      </c>
      <c r="L41" s="212"/>
      <c r="M41" s="194"/>
      <c r="N41" s="197"/>
      <c r="O41" s="5">
        <v>2</v>
      </c>
      <c r="P41" s="26" t="s">
        <v>236</v>
      </c>
      <c r="Q41" s="28" t="str">
        <f>IF(OR(R41="Preventivo",R41="Detectivo"),"Probabilidad",IF(R41="Correctivo","Impacto",""))</f>
        <v>Probabilidad</v>
      </c>
      <c r="R41" s="29" t="s">
        <v>15</v>
      </c>
      <c r="S41" s="29" t="s">
        <v>9</v>
      </c>
      <c r="T41" s="30" t="str">
        <f t="shared" ref="T41:T45" si="43">IF(AND(R41="Preventivo",S41="Automático"),"50%",IF(AND(R41="Preventivo",S41="Manual"),"40%",IF(AND(R41="Detectivo",S41="Automático"),"40%",IF(AND(R41="Detectivo",S41="Manual"),"30%",IF(AND(R41="Correctivo",S41="Automático"),"35%",IF(AND(R41="Correctivo",S41="Manual"),"25%",""))))))</f>
        <v>30%</v>
      </c>
      <c r="U41" s="29" t="s">
        <v>19</v>
      </c>
      <c r="V41" s="29" t="s">
        <v>22</v>
      </c>
      <c r="W41" s="29" t="s">
        <v>117</v>
      </c>
      <c r="X41" s="13">
        <f>IFERROR(IF(AND(Q40="Probabilidad",Q41="Probabilidad"),(Z40-(+Z40*T41)),IF(Q41="Probabilidad",(I40-(+I40*T41)),IF(Q41="Impacto",Z40,""))),"")</f>
        <v>0.252</v>
      </c>
      <c r="Y41" s="31" t="str">
        <f t="shared" si="2"/>
        <v>Baja</v>
      </c>
      <c r="Z41" s="32">
        <f t="shared" ref="Z41:Z45" si="44">+X41</f>
        <v>0.252</v>
      </c>
      <c r="AA41" s="31" t="str">
        <f>IFERROR(IF(AB41="","",IF(AB41&lt;=0.2,"Leve",IF(AB41&lt;=0.4,"Menor",IF(AB41&lt;=0.6,"Moderado",IF(AB41&lt;=0.8,"Mayor","Catastrófico"))))),"")</f>
        <v>Leve</v>
      </c>
      <c r="AB41" s="32">
        <f>IFERROR(IF(Q41="Impacto",(M41-(+M41*T41)),IF(Q41="Probabilidad",M41,"")),"")</f>
        <v>0</v>
      </c>
      <c r="AC41" s="33"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Bajo</v>
      </c>
      <c r="AD41" s="34" t="s">
        <v>31</v>
      </c>
      <c r="AE41" s="35"/>
      <c r="AF41" s="25"/>
      <c r="AG41" s="36"/>
      <c r="AH41" s="36"/>
      <c r="AI41" s="35"/>
      <c r="AJ41" s="25"/>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row>
    <row r="42" spans="1:68" ht="23.25" customHeight="1" x14ac:dyDescent="0.3">
      <c r="A42" s="200"/>
      <c r="B42" s="203"/>
      <c r="C42" s="203"/>
      <c r="D42" s="203"/>
      <c r="E42" s="206"/>
      <c r="F42" s="203"/>
      <c r="G42" s="209"/>
      <c r="H42" s="212"/>
      <c r="I42" s="194"/>
      <c r="J42" s="215"/>
      <c r="K42" s="194">
        <f ca="1">IF(NOT(ISERROR(MATCH(J42,_xlfn.ANCHORARRAY(E53),0))),I55&amp;"Por favor no seleccionar los criterios de impacto",J42)</f>
        <v>0</v>
      </c>
      <c r="L42" s="212"/>
      <c r="M42" s="194"/>
      <c r="N42" s="197"/>
      <c r="O42" s="5">
        <v>3</v>
      </c>
      <c r="P42" s="27"/>
      <c r="Q42" s="28" t="str">
        <f>IF(OR(R42="Preventivo",R42="Detectivo"),"Probabilidad",IF(R42="Correctivo","Impacto",""))</f>
        <v/>
      </c>
      <c r="R42" s="29"/>
      <c r="S42" s="29"/>
      <c r="T42" s="30" t="str">
        <f t="shared" si="43"/>
        <v/>
      </c>
      <c r="U42" s="29"/>
      <c r="V42" s="29"/>
      <c r="W42" s="29"/>
      <c r="X42" s="13" t="str">
        <f>IFERROR(IF(AND(Q41="Probabilidad",Q42="Probabilidad"),(Z41-(+Z41*T42)),IF(AND(Q41="Impacto",Q42="Probabilidad"),(Z40-(+Z40*T42)),IF(Q42="Impacto",Z41,""))),"")</f>
        <v/>
      </c>
      <c r="Y42" s="31" t="str">
        <f t="shared" si="2"/>
        <v/>
      </c>
      <c r="Z42" s="32" t="str">
        <f t="shared" si="44"/>
        <v/>
      </c>
      <c r="AA42" s="31" t="str">
        <f t="shared" si="4"/>
        <v/>
      </c>
      <c r="AB42" s="32" t="str">
        <f>IFERROR(IF(AND(Q41="Impacto",Q42="Impacto"),(AB41-(+AB41*T42)),IF(AND(Q41="Probabilidad",Q42="Impacto"),(AB40-(+AB40*T42)),IF(Q42="Probabilidad",AB41,""))),"")</f>
        <v/>
      </c>
      <c r="AC42" s="33" t="str">
        <f t="shared" ref="AC42" si="45">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34"/>
      <c r="AE42" s="35"/>
      <c r="AF42" s="25"/>
      <c r="AG42" s="36"/>
      <c r="AH42" s="36"/>
      <c r="AI42" s="35"/>
      <c r="AJ42" s="25"/>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row>
    <row r="43" spans="1:68" ht="23.25" customHeight="1" x14ac:dyDescent="0.3">
      <c r="A43" s="200"/>
      <c r="B43" s="203"/>
      <c r="C43" s="203"/>
      <c r="D43" s="203"/>
      <c r="E43" s="206"/>
      <c r="F43" s="203"/>
      <c r="G43" s="209"/>
      <c r="H43" s="212"/>
      <c r="I43" s="194"/>
      <c r="J43" s="215"/>
      <c r="K43" s="194">
        <f ca="1">IF(NOT(ISERROR(MATCH(J43,_xlfn.ANCHORARRAY(E54),0))),I56&amp;"Por favor no seleccionar los criterios de impacto",J43)</f>
        <v>0</v>
      </c>
      <c r="L43" s="212"/>
      <c r="M43" s="194"/>
      <c r="N43" s="197"/>
      <c r="O43" s="5">
        <v>4</v>
      </c>
      <c r="P43" s="26"/>
      <c r="Q43" s="28" t="str">
        <f t="shared" ref="Q43:Q45" si="46">IF(OR(R43="Preventivo",R43="Detectivo"),"Probabilidad",IF(R43="Correctivo","Impacto",""))</f>
        <v/>
      </c>
      <c r="R43" s="29"/>
      <c r="S43" s="29"/>
      <c r="T43" s="30" t="str">
        <f t="shared" si="43"/>
        <v/>
      </c>
      <c r="U43" s="29"/>
      <c r="V43" s="29"/>
      <c r="W43" s="29"/>
      <c r="X43" s="13" t="str">
        <f t="shared" ref="X43:X45" si="47">IFERROR(IF(AND(Q42="Probabilidad",Q43="Probabilidad"),(Z42-(+Z42*T43)),IF(AND(Q42="Impacto",Q43="Probabilidad"),(Z41-(+Z41*T43)),IF(Q43="Impacto",Z42,""))),"")</f>
        <v/>
      </c>
      <c r="Y43" s="31" t="str">
        <f t="shared" si="2"/>
        <v/>
      </c>
      <c r="Z43" s="32" t="str">
        <f t="shared" si="44"/>
        <v/>
      </c>
      <c r="AA43" s="31" t="str">
        <f t="shared" si="4"/>
        <v/>
      </c>
      <c r="AB43" s="32" t="str">
        <f t="shared" ref="AB43:AB45" si="48">IFERROR(IF(AND(Q42="Impacto",Q43="Impacto"),(AB42-(+AB42*T43)),IF(AND(Q42="Probabilidad",Q43="Impacto"),(AB41-(+AB41*T43)),IF(Q43="Probabilidad",AB42,""))),"")</f>
        <v/>
      </c>
      <c r="AC43" s="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34"/>
      <c r="AE43" s="35"/>
      <c r="AF43" s="25"/>
      <c r="AG43" s="36"/>
      <c r="AH43" s="36"/>
      <c r="AI43" s="35"/>
      <c r="AJ43" s="25"/>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row>
    <row r="44" spans="1:68" ht="23.25" customHeight="1" x14ac:dyDescent="0.3">
      <c r="A44" s="200"/>
      <c r="B44" s="203"/>
      <c r="C44" s="203"/>
      <c r="D44" s="203"/>
      <c r="E44" s="206"/>
      <c r="F44" s="203"/>
      <c r="G44" s="209"/>
      <c r="H44" s="212"/>
      <c r="I44" s="194"/>
      <c r="J44" s="215"/>
      <c r="K44" s="194">
        <f ca="1">IF(NOT(ISERROR(MATCH(J44,_xlfn.ANCHORARRAY(E55),0))),I57&amp;"Por favor no seleccionar los criterios de impacto",J44)</f>
        <v>0</v>
      </c>
      <c r="L44" s="212"/>
      <c r="M44" s="194"/>
      <c r="N44" s="197"/>
      <c r="O44" s="5">
        <v>5</v>
      </c>
      <c r="P44" s="26"/>
      <c r="Q44" s="28" t="str">
        <f t="shared" si="46"/>
        <v/>
      </c>
      <c r="R44" s="29"/>
      <c r="S44" s="29"/>
      <c r="T44" s="30" t="str">
        <f t="shared" si="43"/>
        <v/>
      </c>
      <c r="U44" s="29"/>
      <c r="V44" s="29"/>
      <c r="W44" s="29"/>
      <c r="X44" s="13" t="str">
        <f t="shared" si="47"/>
        <v/>
      </c>
      <c r="Y44" s="31" t="str">
        <f t="shared" si="2"/>
        <v/>
      </c>
      <c r="Z44" s="32" t="str">
        <f t="shared" si="44"/>
        <v/>
      </c>
      <c r="AA44" s="31" t="str">
        <f t="shared" si="4"/>
        <v/>
      </c>
      <c r="AB44" s="32" t="str">
        <f t="shared" si="48"/>
        <v/>
      </c>
      <c r="AC44" s="33" t="str">
        <f t="shared" ref="AC44:AC45" si="49">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34"/>
      <c r="AE44" s="35"/>
      <c r="AF44" s="25"/>
      <c r="AG44" s="36"/>
      <c r="AH44" s="36"/>
      <c r="AI44" s="35"/>
      <c r="AJ44" s="25"/>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row>
    <row r="45" spans="1:68" ht="23.25" customHeight="1" x14ac:dyDescent="0.3">
      <c r="A45" s="201"/>
      <c r="B45" s="204"/>
      <c r="C45" s="204"/>
      <c r="D45" s="204"/>
      <c r="E45" s="207"/>
      <c r="F45" s="204"/>
      <c r="G45" s="210"/>
      <c r="H45" s="213"/>
      <c r="I45" s="195"/>
      <c r="J45" s="216"/>
      <c r="K45" s="195">
        <f ca="1">IF(NOT(ISERROR(MATCH(J45,_xlfn.ANCHORARRAY(E56),0))),I58&amp;"Por favor no seleccionar los criterios de impacto",J45)</f>
        <v>0</v>
      </c>
      <c r="L45" s="213"/>
      <c r="M45" s="195"/>
      <c r="N45" s="198"/>
      <c r="O45" s="5">
        <v>6</v>
      </c>
      <c r="P45" s="26"/>
      <c r="Q45" s="28" t="str">
        <f t="shared" si="46"/>
        <v/>
      </c>
      <c r="R45" s="29"/>
      <c r="S45" s="29"/>
      <c r="T45" s="30" t="str">
        <f t="shared" si="43"/>
        <v/>
      </c>
      <c r="U45" s="29"/>
      <c r="V45" s="29"/>
      <c r="W45" s="29"/>
      <c r="X45" s="13" t="str">
        <f t="shared" si="47"/>
        <v/>
      </c>
      <c r="Y45" s="31" t="str">
        <f t="shared" si="2"/>
        <v/>
      </c>
      <c r="Z45" s="32" t="str">
        <f t="shared" si="44"/>
        <v/>
      </c>
      <c r="AA45" s="31" t="str">
        <f t="shared" si="4"/>
        <v/>
      </c>
      <c r="AB45" s="32" t="str">
        <f t="shared" si="48"/>
        <v/>
      </c>
      <c r="AC45" s="33" t="str">
        <f t="shared" si="49"/>
        <v/>
      </c>
      <c r="AD45" s="34"/>
      <c r="AE45" s="35"/>
      <c r="AF45" s="25"/>
      <c r="AG45" s="36"/>
      <c r="AH45" s="36"/>
      <c r="AI45" s="35"/>
      <c r="AJ45" s="25"/>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row>
    <row r="46" spans="1:68" ht="23.2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5">
        <v>1</v>
      </c>
      <c r="P46" s="26"/>
      <c r="Q46" s="28" t="str">
        <f>IF(OR(R46="Preventivo",R46="Detectivo"),"Probabilidad",IF(R46="Correctivo","Impacto",""))</f>
        <v/>
      </c>
      <c r="R46" s="29"/>
      <c r="S46" s="29"/>
      <c r="T46" s="30" t="str">
        <f>IF(AND(R46="Preventivo",S46="Automático"),"50%",IF(AND(R46="Preventivo",S46="Manual"),"40%",IF(AND(R46="Detectivo",S46="Automático"),"40%",IF(AND(R46="Detectivo",S46="Manual"),"30%",IF(AND(R46="Correctivo",S46="Automático"),"35%",IF(AND(R46="Correctivo",S46="Manual"),"25%",""))))))</f>
        <v/>
      </c>
      <c r="U46" s="29"/>
      <c r="V46" s="29"/>
      <c r="W46" s="29"/>
      <c r="X46" s="13" t="str">
        <f>IFERROR(IF(Q46="Probabilidad",(I46-(+I46*T46)),IF(Q46="Impacto",I46,"")),"")</f>
        <v/>
      </c>
      <c r="Y46" s="31" t="str">
        <f>IFERROR(IF(X46="","",IF(X46&lt;=0.2,"Muy Baja",IF(X46&lt;=0.4,"Baja",IF(X46&lt;=0.6,"Media",IF(X46&lt;=0.8,"Alta","Muy Alta"))))),"")</f>
        <v/>
      </c>
      <c r="Z46" s="32" t="str">
        <f>+X46</f>
        <v/>
      </c>
      <c r="AA46" s="31" t="str">
        <f>IFERROR(IF(AB46="","",IF(AB46&lt;=0.2,"Leve",IF(AB46&lt;=0.4,"Menor",IF(AB46&lt;=0.6,"Moderado",IF(AB46&lt;=0.8,"Mayor","Catastrófico"))))),"")</f>
        <v/>
      </c>
      <c r="AB46" s="32" t="str">
        <f>IFERROR(IF(Q46="Impacto",(M46-(+M46*T46)),IF(Q46="Probabilidad",M46,"")),"")</f>
        <v/>
      </c>
      <c r="AC46" s="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34"/>
      <c r="AE46" s="35"/>
      <c r="AF46" s="25"/>
      <c r="AG46" s="36"/>
      <c r="AH46" s="36"/>
      <c r="AI46" s="35"/>
      <c r="AJ46" s="25"/>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row>
    <row r="47" spans="1:68" ht="23.25" customHeight="1" x14ac:dyDescent="0.3">
      <c r="A47" s="200"/>
      <c r="B47" s="203"/>
      <c r="C47" s="203"/>
      <c r="D47" s="203"/>
      <c r="E47" s="206"/>
      <c r="F47" s="203"/>
      <c r="G47" s="209"/>
      <c r="H47" s="212"/>
      <c r="I47" s="194"/>
      <c r="J47" s="215"/>
      <c r="K47" s="194">
        <f ca="1">IF(NOT(ISERROR(MATCH(J47,_xlfn.ANCHORARRAY(E58),0))),I60&amp;"Por favor no seleccionar los criterios de impacto",J47)</f>
        <v>0</v>
      </c>
      <c r="L47" s="212"/>
      <c r="M47" s="194"/>
      <c r="N47" s="197"/>
      <c r="O47" s="5">
        <v>2</v>
      </c>
      <c r="P47" s="26"/>
      <c r="Q47" s="28" t="str">
        <f>IF(OR(R47="Preventivo",R47="Detectivo"),"Probabilidad",IF(R47="Correctivo","Impacto",""))</f>
        <v/>
      </c>
      <c r="R47" s="29"/>
      <c r="S47" s="29"/>
      <c r="T47" s="30" t="str">
        <f t="shared" ref="T47:T51" si="50">IF(AND(R47="Preventivo",S47="Automático"),"50%",IF(AND(R47="Preventivo",S47="Manual"),"40%",IF(AND(R47="Detectivo",S47="Automático"),"40%",IF(AND(R47="Detectivo",S47="Manual"),"30%",IF(AND(R47="Correctivo",S47="Automático"),"35%",IF(AND(R47="Correctivo",S47="Manual"),"25%",""))))))</f>
        <v/>
      </c>
      <c r="U47" s="29"/>
      <c r="V47" s="29"/>
      <c r="W47" s="29"/>
      <c r="X47" s="13" t="str">
        <f>IFERROR(IF(AND(Q46="Probabilidad",Q47="Probabilidad"),(Z46-(+Z46*T47)),IF(Q47="Probabilidad",(I46-(+I46*T47)),IF(Q47="Impacto",Z46,""))),"")</f>
        <v/>
      </c>
      <c r="Y47" s="31" t="str">
        <f t="shared" si="2"/>
        <v/>
      </c>
      <c r="Z47" s="32" t="str">
        <f t="shared" ref="Z47:Z51" si="51">+X47</f>
        <v/>
      </c>
      <c r="AA47" s="31" t="str">
        <f t="shared" si="4"/>
        <v/>
      </c>
      <c r="AB47" s="32" t="str">
        <f>IFERROR(IF(AND(Q46="Impacto",Q47="Impacto"),(AB40-(+AB40*T47)),IF(Q47="Impacto",($M$46-(+$M$46*T47)),IF(Q47="Probabilidad",AB40,""))),"")</f>
        <v/>
      </c>
      <c r="AC47" s="33" t="str">
        <f t="shared" ref="AC47:AC48" si="52">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34"/>
      <c r="AE47" s="35"/>
      <c r="AF47" s="25"/>
      <c r="AG47" s="36"/>
      <c r="AH47" s="36"/>
      <c r="AI47" s="35"/>
      <c r="AJ47" s="25"/>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row>
    <row r="48" spans="1:68" ht="23.25" customHeight="1" x14ac:dyDescent="0.3">
      <c r="A48" s="200"/>
      <c r="B48" s="203"/>
      <c r="C48" s="203"/>
      <c r="D48" s="203"/>
      <c r="E48" s="206"/>
      <c r="F48" s="203"/>
      <c r="G48" s="209"/>
      <c r="H48" s="212"/>
      <c r="I48" s="194"/>
      <c r="J48" s="215"/>
      <c r="K48" s="194">
        <f ca="1">IF(NOT(ISERROR(MATCH(J48,_xlfn.ANCHORARRAY(E59),0))),I61&amp;"Por favor no seleccionar los criterios de impacto",J48)</f>
        <v>0</v>
      </c>
      <c r="L48" s="212"/>
      <c r="M48" s="194"/>
      <c r="N48" s="197"/>
      <c r="O48" s="5">
        <v>3</v>
      </c>
      <c r="P48" s="27"/>
      <c r="Q48" s="28" t="str">
        <f>IF(OR(R48="Preventivo",R48="Detectivo"),"Probabilidad",IF(R48="Correctivo","Impacto",""))</f>
        <v/>
      </c>
      <c r="R48" s="29"/>
      <c r="S48" s="29"/>
      <c r="T48" s="30" t="str">
        <f t="shared" si="50"/>
        <v/>
      </c>
      <c r="U48" s="29"/>
      <c r="V48" s="29"/>
      <c r="W48" s="29"/>
      <c r="X48" s="13" t="str">
        <f>IFERROR(IF(AND(Q47="Probabilidad",Q48="Probabilidad"),(Z47-(+Z47*T48)),IF(AND(Q47="Impacto",Q48="Probabilidad"),(Z46-(+Z46*T48)),IF(Q48="Impacto",Z47,""))),"")</f>
        <v/>
      </c>
      <c r="Y48" s="31" t="str">
        <f t="shared" si="2"/>
        <v/>
      </c>
      <c r="Z48" s="32" t="str">
        <f t="shared" si="51"/>
        <v/>
      </c>
      <c r="AA48" s="31" t="str">
        <f t="shared" si="4"/>
        <v/>
      </c>
      <c r="AB48" s="32" t="str">
        <f>IFERROR(IF(AND(Q47="Impacto",Q48="Impacto"),(AB47-(+AB47*T48)),IF(AND(Q47="Probabilidad",Q48="Impacto"),(AB46-(+AB46*T48)),IF(Q48="Probabilidad",AB47,""))),"")</f>
        <v/>
      </c>
      <c r="AC48" s="33" t="str">
        <f t="shared" si="52"/>
        <v/>
      </c>
      <c r="AD48" s="34"/>
      <c r="AE48" s="35"/>
      <c r="AF48" s="25"/>
      <c r="AG48" s="36"/>
      <c r="AH48" s="36"/>
      <c r="AI48" s="35"/>
      <c r="AJ48" s="25"/>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row>
    <row r="49" spans="1:68" ht="23.25" customHeight="1" x14ac:dyDescent="0.3">
      <c r="A49" s="200"/>
      <c r="B49" s="203"/>
      <c r="C49" s="203"/>
      <c r="D49" s="203"/>
      <c r="E49" s="206"/>
      <c r="F49" s="203"/>
      <c r="G49" s="209"/>
      <c r="H49" s="212"/>
      <c r="I49" s="194"/>
      <c r="J49" s="215"/>
      <c r="K49" s="194">
        <f ca="1">IF(NOT(ISERROR(MATCH(J49,_xlfn.ANCHORARRAY(E60),0))),I62&amp;"Por favor no seleccionar los criterios de impacto",J49)</f>
        <v>0</v>
      </c>
      <c r="L49" s="212"/>
      <c r="M49" s="194"/>
      <c r="N49" s="197"/>
      <c r="O49" s="5">
        <v>4</v>
      </c>
      <c r="P49" s="26"/>
      <c r="Q49" s="28" t="str">
        <f t="shared" ref="Q49:Q51" si="53">IF(OR(R49="Preventivo",R49="Detectivo"),"Probabilidad",IF(R49="Correctivo","Impacto",""))</f>
        <v/>
      </c>
      <c r="R49" s="29"/>
      <c r="S49" s="29"/>
      <c r="T49" s="30" t="str">
        <f t="shared" si="50"/>
        <v/>
      </c>
      <c r="U49" s="29"/>
      <c r="V49" s="29"/>
      <c r="W49" s="29"/>
      <c r="X49" s="13" t="str">
        <f t="shared" ref="X49:X51" si="54">IFERROR(IF(AND(Q48="Probabilidad",Q49="Probabilidad"),(Z48-(+Z48*T49)),IF(AND(Q48="Impacto",Q49="Probabilidad"),(Z47-(+Z47*T49)),IF(Q49="Impacto",Z48,""))),"")</f>
        <v/>
      </c>
      <c r="Y49" s="31" t="str">
        <f t="shared" si="2"/>
        <v/>
      </c>
      <c r="Z49" s="32" t="str">
        <f t="shared" si="51"/>
        <v/>
      </c>
      <c r="AA49" s="31" t="str">
        <f t="shared" si="4"/>
        <v/>
      </c>
      <c r="AB49" s="32" t="str">
        <f t="shared" ref="AB49:AB51" si="55">IFERROR(IF(AND(Q48="Impacto",Q49="Impacto"),(AB48-(+AB48*T49)),IF(AND(Q48="Probabilidad",Q49="Impacto"),(AB47-(+AB47*T49)),IF(Q49="Probabilidad",AB48,""))),"")</f>
        <v/>
      </c>
      <c r="AC49" s="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34"/>
      <c r="AE49" s="35"/>
      <c r="AF49" s="25"/>
      <c r="AG49" s="36"/>
      <c r="AH49" s="36"/>
      <c r="AI49" s="35"/>
      <c r="AJ49" s="25"/>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row>
    <row r="50" spans="1:68" ht="23.25" customHeight="1" x14ac:dyDescent="0.3">
      <c r="A50" s="200"/>
      <c r="B50" s="203"/>
      <c r="C50" s="203"/>
      <c r="D50" s="203"/>
      <c r="E50" s="206"/>
      <c r="F50" s="203"/>
      <c r="G50" s="209"/>
      <c r="H50" s="212"/>
      <c r="I50" s="194"/>
      <c r="J50" s="215"/>
      <c r="K50" s="194">
        <f ca="1">IF(NOT(ISERROR(MATCH(J50,_xlfn.ANCHORARRAY(E61),0))),I63&amp;"Por favor no seleccionar los criterios de impacto",J50)</f>
        <v>0</v>
      </c>
      <c r="L50" s="212"/>
      <c r="M50" s="194"/>
      <c r="N50" s="197"/>
      <c r="O50" s="5">
        <v>5</v>
      </c>
      <c r="P50" s="26"/>
      <c r="Q50" s="28" t="str">
        <f t="shared" si="53"/>
        <v/>
      </c>
      <c r="R50" s="29"/>
      <c r="S50" s="29"/>
      <c r="T50" s="30" t="str">
        <f t="shared" si="50"/>
        <v/>
      </c>
      <c r="U50" s="29"/>
      <c r="V50" s="29"/>
      <c r="W50" s="29"/>
      <c r="X50" s="13" t="str">
        <f t="shared" si="54"/>
        <v/>
      </c>
      <c r="Y50" s="31" t="str">
        <f t="shared" si="2"/>
        <v/>
      </c>
      <c r="Z50" s="32" t="str">
        <f t="shared" si="51"/>
        <v/>
      </c>
      <c r="AA50" s="31" t="str">
        <f t="shared" si="4"/>
        <v/>
      </c>
      <c r="AB50" s="32" t="str">
        <f t="shared" si="55"/>
        <v/>
      </c>
      <c r="AC50" s="33" t="str">
        <f t="shared" ref="AC50:AC51" si="56">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34"/>
      <c r="AE50" s="35"/>
      <c r="AF50" s="25"/>
      <c r="AG50" s="36"/>
      <c r="AH50" s="36"/>
      <c r="AI50" s="35"/>
      <c r="AJ50" s="25"/>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row>
    <row r="51" spans="1:68" ht="23.25" customHeight="1" x14ac:dyDescent="0.3">
      <c r="A51" s="201"/>
      <c r="B51" s="204"/>
      <c r="C51" s="204"/>
      <c r="D51" s="204"/>
      <c r="E51" s="207"/>
      <c r="F51" s="204"/>
      <c r="G51" s="210"/>
      <c r="H51" s="213"/>
      <c r="I51" s="195"/>
      <c r="J51" s="216"/>
      <c r="K51" s="195">
        <f ca="1">IF(NOT(ISERROR(MATCH(J51,_xlfn.ANCHORARRAY(E62),0))),I64&amp;"Por favor no seleccionar los criterios de impacto",J51)</f>
        <v>0</v>
      </c>
      <c r="L51" s="213"/>
      <c r="M51" s="195"/>
      <c r="N51" s="198"/>
      <c r="O51" s="5">
        <v>6</v>
      </c>
      <c r="P51" s="26"/>
      <c r="Q51" s="28" t="str">
        <f t="shared" si="53"/>
        <v/>
      </c>
      <c r="R51" s="29"/>
      <c r="S51" s="29"/>
      <c r="T51" s="30" t="str">
        <f t="shared" si="50"/>
        <v/>
      </c>
      <c r="U51" s="29"/>
      <c r="V51" s="29"/>
      <c r="W51" s="29"/>
      <c r="X51" s="13" t="str">
        <f t="shared" si="54"/>
        <v/>
      </c>
      <c r="Y51" s="31" t="str">
        <f t="shared" si="2"/>
        <v/>
      </c>
      <c r="Z51" s="32" t="str">
        <f t="shared" si="51"/>
        <v/>
      </c>
      <c r="AA51" s="31" t="str">
        <f t="shared" si="4"/>
        <v/>
      </c>
      <c r="AB51" s="32" t="str">
        <f t="shared" si="55"/>
        <v/>
      </c>
      <c r="AC51" s="33" t="str">
        <f t="shared" si="56"/>
        <v/>
      </c>
      <c r="AD51" s="34"/>
      <c r="AE51" s="35"/>
      <c r="AF51" s="25"/>
      <c r="AG51" s="36"/>
      <c r="AH51" s="36"/>
      <c r="AI51" s="35"/>
      <c r="AJ51" s="25"/>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row>
    <row r="52" spans="1:68" ht="23.2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5">
        <v>1</v>
      </c>
      <c r="P52" s="26"/>
      <c r="Q52" s="28" t="str">
        <f>IF(OR(R52="Preventivo",R52="Detectivo"),"Probabilidad",IF(R52="Correctivo","Impacto",""))</f>
        <v/>
      </c>
      <c r="R52" s="29"/>
      <c r="S52" s="29"/>
      <c r="T52" s="30" t="str">
        <f>IF(AND(R52="Preventivo",S52="Automático"),"50%",IF(AND(R52="Preventivo",S52="Manual"),"40%",IF(AND(R52="Detectivo",S52="Automático"),"40%",IF(AND(R52="Detectivo",S52="Manual"),"30%",IF(AND(R52="Correctivo",S52="Automático"),"35%",IF(AND(R52="Correctivo",S52="Manual"),"25%",""))))))</f>
        <v/>
      </c>
      <c r="U52" s="29"/>
      <c r="V52" s="29"/>
      <c r="W52" s="29"/>
      <c r="X52" s="13" t="str">
        <f>IFERROR(IF(Q52="Probabilidad",(I52-(+I52*T52)),IF(Q52="Impacto",I52,"")),"")</f>
        <v/>
      </c>
      <c r="Y52" s="31" t="str">
        <f>IFERROR(IF(X52="","",IF(X52&lt;=0.2,"Muy Baja",IF(X52&lt;=0.4,"Baja",IF(X52&lt;=0.6,"Media",IF(X52&lt;=0.8,"Alta","Muy Alta"))))),"")</f>
        <v/>
      </c>
      <c r="Z52" s="32" t="str">
        <f>+X52</f>
        <v/>
      </c>
      <c r="AA52" s="31" t="str">
        <f>IFERROR(IF(AB52="","",IF(AB52&lt;=0.2,"Leve",IF(AB52&lt;=0.4,"Menor",IF(AB52&lt;=0.6,"Moderado",IF(AB52&lt;=0.8,"Mayor","Catastrófico"))))),"")</f>
        <v/>
      </c>
      <c r="AB52" s="32" t="str">
        <f>IFERROR(IF(Q52="Impacto",(M52-(+M52*T52)),IF(Q52="Probabilidad",M52,"")),"")</f>
        <v/>
      </c>
      <c r="AC52" s="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34"/>
      <c r="AE52" s="35"/>
      <c r="AF52" s="25"/>
      <c r="AG52" s="36"/>
      <c r="AH52" s="36"/>
      <c r="AI52" s="35"/>
      <c r="AJ52" s="25"/>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row>
    <row r="53" spans="1:68" ht="23.2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5">
        <v>2</v>
      </c>
      <c r="P53" s="26"/>
      <c r="Q53" s="28" t="str">
        <f>IF(OR(R53="Preventivo",R53="Detectivo"),"Probabilidad",IF(R53="Correctivo","Impacto",""))</f>
        <v/>
      </c>
      <c r="R53" s="29"/>
      <c r="S53" s="29"/>
      <c r="T53" s="30" t="str">
        <f t="shared" ref="T53:T57" si="57">IF(AND(R53="Preventivo",S53="Automático"),"50%",IF(AND(R53="Preventivo",S53="Manual"),"40%",IF(AND(R53="Detectivo",S53="Automático"),"40%",IF(AND(R53="Detectivo",S53="Manual"),"30%",IF(AND(R53="Correctivo",S53="Automático"),"35%",IF(AND(R53="Correctivo",S53="Manual"),"25%",""))))))</f>
        <v/>
      </c>
      <c r="U53" s="29"/>
      <c r="V53" s="29"/>
      <c r="W53" s="29"/>
      <c r="X53" s="13" t="str">
        <f>IFERROR(IF(AND(Q52="Probabilidad",Q53="Probabilidad"),(Z52-(+Z52*T53)),IF(Q53="Probabilidad",(I52-(+I52*T53)),IF(Q53="Impacto",Z52,""))),"")</f>
        <v/>
      </c>
      <c r="Y53" s="31" t="str">
        <f t="shared" si="2"/>
        <v/>
      </c>
      <c r="Z53" s="32" t="str">
        <f t="shared" ref="Z53:Z57" si="58">+X53</f>
        <v/>
      </c>
      <c r="AA53" s="31" t="str">
        <f t="shared" si="4"/>
        <v/>
      </c>
      <c r="AB53" s="32" t="str">
        <f>IFERROR(IF(AND(Q52="Impacto",Q53="Impacto"),(AB46-(+AB46*T53)),IF(Q53="Impacto",($M$52-(+$M$52*T53)),IF(Q53="Probabilidad",AB46,""))),"")</f>
        <v/>
      </c>
      <c r="AC53" s="33" t="str">
        <f t="shared" ref="AC53:AC54" si="59">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34"/>
      <c r="AE53" s="35"/>
      <c r="AF53" s="25"/>
      <c r="AG53" s="36"/>
      <c r="AH53" s="36"/>
      <c r="AI53" s="35"/>
      <c r="AJ53" s="25"/>
    </row>
    <row r="54" spans="1:68" ht="23.2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5">
        <v>3</v>
      </c>
      <c r="P54" s="27"/>
      <c r="Q54" s="28" t="str">
        <f>IF(OR(R54="Preventivo",R54="Detectivo"),"Probabilidad",IF(R54="Correctivo","Impacto",""))</f>
        <v/>
      </c>
      <c r="R54" s="29"/>
      <c r="S54" s="29"/>
      <c r="T54" s="30" t="str">
        <f t="shared" si="57"/>
        <v/>
      </c>
      <c r="U54" s="29"/>
      <c r="V54" s="29"/>
      <c r="W54" s="29"/>
      <c r="X54" s="13" t="str">
        <f>IFERROR(IF(AND(Q53="Probabilidad",Q54="Probabilidad"),(Z53-(+Z53*T54)),IF(AND(Q53="Impacto",Q54="Probabilidad"),(Z52-(+Z52*T54)),IF(Q54="Impacto",Z53,""))),"")</f>
        <v/>
      </c>
      <c r="Y54" s="31" t="str">
        <f t="shared" si="2"/>
        <v/>
      </c>
      <c r="Z54" s="32" t="str">
        <f t="shared" si="58"/>
        <v/>
      </c>
      <c r="AA54" s="31" t="str">
        <f t="shared" si="4"/>
        <v/>
      </c>
      <c r="AB54" s="32" t="str">
        <f>IFERROR(IF(AND(Q53="Impacto",Q54="Impacto"),(AB53-(+AB53*T54)),IF(AND(Q53="Probabilidad",Q54="Impacto"),(AB52-(+AB52*T54)),IF(Q54="Probabilidad",AB53,""))),"")</f>
        <v/>
      </c>
      <c r="AC54" s="33" t="str">
        <f t="shared" si="59"/>
        <v/>
      </c>
      <c r="AD54" s="34"/>
      <c r="AE54" s="35"/>
      <c r="AF54" s="25"/>
      <c r="AG54" s="36"/>
      <c r="AH54" s="36"/>
      <c r="AI54" s="35"/>
      <c r="AJ54" s="25"/>
    </row>
    <row r="55" spans="1:68" ht="23.2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5">
        <v>4</v>
      </c>
      <c r="P55" s="26"/>
      <c r="Q55" s="28" t="str">
        <f t="shared" ref="Q55:Q57" si="60">IF(OR(R55="Preventivo",R55="Detectivo"),"Probabilidad",IF(R55="Correctivo","Impacto",""))</f>
        <v/>
      </c>
      <c r="R55" s="29"/>
      <c r="S55" s="29"/>
      <c r="T55" s="30" t="str">
        <f t="shared" si="57"/>
        <v/>
      </c>
      <c r="U55" s="29"/>
      <c r="V55" s="29"/>
      <c r="W55" s="29"/>
      <c r="X55" s="13" t="str">
        <f t="shared" ref="X55:X57" si="61">IFERROR(IF(AND(Q54="Probabilidad",Q55="Probabilidad"),(Z54-(+Z54*T55)),IF(AND(Q54="Impacto",Q55="Probabilidad"),(Z53-(+Z53*T55)),IF(Q55="Impacto",Z54,""))),"")</f>
        <v/>
      </c>
      <c r="Y55" s="31" t="str">
        <f t="shared" si="2"/>
        <v/>
      </c>
      <c r="Z55" s="32" t="str">
        <f t="shared" si="58"/>
        <v/>
      </c>
      <c r="AA55" s="31" t="str">
        <f t="shared" si="4"/>
        <v/>
      </c>
      <c r="AB55" s="32" t="str">
        <f t="shared" ref="AB55:AB57" si="62">IFERROR(IF(AND(Q54="Impacto",Q55="Impacto"),(AB54-(+AB54*T55)),IF(AND(Q54="Probabilidad",Q55="Impacto"),(AB53-(+AB53*T55)),IF(Q55="Probabilidad",AB54,""))),"")</f>
        <v/>
      </c>
      <c r="AC55" s="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34"/>
      <c r="AE55" s="35"/>
      <c r="AF55" s="25"/>
      <c r="AG55" s="36"/>
      <c r="AH55" s="36"/>
      <c r="AI55" s="35"/>
      <c r="AJ55" s="25"/>
    </row>
    <row r="56" spans="1:68" ht="23.2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5">
        <v>5</v>
      </c>
      <c r="P56" s="26"/>
      <c r="Q56" s="28" t="str">
        <f t="shared" si="60"/>
        <v/>
      </c>
      <c r="R56" s="29"/>
      <c r="S56" s="29"/>
      <c r="T56" s="30" t="str">
        <f t="shared" si="57"/>
        <v/>
      </c>
      <c r="U56" s="29"/>
      <c r="V56" s="29"/>
      <c r="W56" s="29"/>
      <c r="X56" s="13" t="str">
        <f t="shared" si="61"/>
        <v/>
      </c>
      <c r="Y56" s="31" t="str">
        <f t="shared" si="2"/>
        <v/>
      </c>
      <c r="Z56" s="32" t="str">
        <f t="shared" si="58"/>
        <v/>
      </c>
      <c r="AA56" s="31" t="str">
        <f t="shared" si="4"/>
        <v/>
      </c>
      <c r="AB56" s="32" t="str">
        <f t="shared" si="62"/>
        <v/>
      </c>
      <c r="AC56" s="33" t="str">
        <f t="shared" ref="AC56:AC57" si="63">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34"/>
      <c r="AE56" s="35"/>
      <c r="AF56" s="25"/>
      <c r="AG56" s="36"/>
      <c r="AH56" s="36"/>
      <c r="AI56" s="35"/>
      <c r="AJ56" s="25"/>
    </row>
    <row r="57" spans="1:68" ht="23.2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5">
        <v>6</v>
      </c>
      <c r="P57" s="26"/>
      <c r="Q57" s="28" t="str">
        <f t="shared" si="60"/>
        <v/>
      </c>
      <c r="R57" s="29"/>
      <c r="S57" s="29"/>
      <c r="T57" s="30" t="str">
        <f t="shared" si="57"/>
        <v/>
      </c>
      <c r="U57" s="29"/>
      <c r="V57" s="29"/>
      <c r="W57" s="29"/>
      <c r="X57" s="13" t="str">
        <f t="shared" si="61"/>
        <v/>
      </c>
      <c r="Y57" s="31" t="str">
        <f t="shared" si="2"/>
        <v/>
      </c>
      <c r="Z57" s="32" t="str">
        <f t="shared" si="58"/>
        <v/>
      </c>
      <c r="AA57" s="31" t="str">
        <f t="shared" si="4"/>
        <v/>
      </c>
      <c r="AB57" s="32" t="str">
        <f t="shared" si="62"/>
        <v/>
      </c>
      <c r="AC57" s="33" t="str">
        <f t="shared" si="63"/>
        <v/>
      </c>
      <c r="AD57" s="34"/>
      <c r="AE57" s="35"/>
      <c r="AF57" s="25"/>
      <c r="AG57" s="36"/>
      <c r="AH57" s="36"/>
      <c r="AI57" s="35"/>
      <c r="AJ57" s="25"/>
    </row>
    <row r="58" spans="1:68" ht="49.5" customHeight="1" x14ac:dyDescent="0.3">
      <c r="A58" s="5"/>
      <c r="B58" s="190" t="s">
        <v>129</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2"/>
    </row>
    <row r="60" spans="1:68" x14ac:dyDescent="0.3">
      <c r="A60" s="1"/>
      <c r="B60" s="14" t="s">
        <v>141</v>
      </c>
      <c r="C60" s="1"/>
      <c r="D60" s="1"/>
      <c r="F60" s="1"/>
    </row>
  </sheetData>
  <dataConsolidate/>
  <mergeCells count="157">
    <mergeCell ref="C4:N4"/>
    <mergeCell ref="O4:Q4"/>
    <mergeCell ref="AA8:AA9"/>
    <mergeCell ref="Y8:Y9"/>
    <mergeCell ref="Z8:Z9"/>
    <mergeCell ref="G8:G9"/>
    <mergeCell ref="H8:H9"/>
    <mergeCell ref="I8:I9"/>
    <mergeCell ref="B8:B9"/>
    <mergeCell ref="N8:N9"/>
    <mergeCell ref="J8:J9"/>
    <mergeCell ref="K8:K9"/>
    <mergeCell ref="Q8:Q9"/>
    <mergeCell ref="R8:W8"/>
    <mergeCell ref="A4:B4"/>
    <mergeCell ref="A5:B5"/>
    <mergeCell ref="A6:B6"/>
    <mergeCell ref="A8:A9"/>
    <mergeCell ref="F8:F9"/>
    <mergeCell ref="E8:E9"/>
    <mergeCell ref="D8:D9"/>
    <mergeCell ref="C8:C9"/>
    <mergeCell ref="C5:N5"/>
    <mergeCell ref="C6:N6"/>
    <mergeCell ref="AE8:AE9"/>
    <mergeCell ref="AJ8:AJ9"/>
    <mergeCell ref="AI8:AI9"/>
    <mergeCell ref="AH8:AH9"/>
    <mergeCell ref="AG8:AG9"/>
    <mergeCell ref="AF8:AF9"/>
    <mergeCell ref="L8:L9"/>
    <mergeCell ref="M8:M9"/>
    <mergeCell ref="J10:J15"/>
    <mergeCell ref="K10:K15"/>
    <mergeCell ref="L10:L15"/>
    <mergeCell ref="M10:M15"/>
    <mergeCell ref="N10:N15"/>
    <mergeCell ref="AD8:AD9"/>
    <mergeCell ref="AC8:AC9"/>
    <mergeCell ref="AB8:AB9"/>
    <mergeCell ref="X8:X9"/>
    <mergeCell ref="P8:P9"/>
    <mergeCell ref="O8:O9"/>
    <mergeCell ref="J16:J21"/>
    <mergeCell ref="K16:K21"/>
    <mergeCell ref="L16:L21"/>
    <mergeCell ref="M16:M21"/>
    <mergeCell ref="N16:N21"/>
    <mergeCell ref="A10:A15"/>
    <mergeCell ref="B10:B15"/>
    <mergeCell ref="C10:C15"/>
    <mergeCell ref="D10:D15"/>
    <mergeCell ref="E10:E15"/>
    <mergeCell ref="A16:A21"/>
    <mergeCell ref="B16:B21"/>
    <mergeCell ref="C16:C21"/>
    <mergeCell ref="D16:D21"/>
    <mergeCell ref="E16:E21"/>
    <mergeCell ref="F16:F21"/>
    <mergeCell ref="G16:G21"/>
    <mergeCell ref="H16:H21"/>
    <mergeCell ref="I16:I21"/>
    <mergeCell ref="F10:F15"/>
    <mergeCell ref="G10:G15"/>
    <mergeCell ref="H10:H15"/>
    <mergeCell ref="I10:I15"/>
    <mergeCell ref="M22:M27"/>
    <mergeCell ref="N22:N27"/>
    <mergeCell ref="M28:M33"/>
    <mergeCell ref="N28:N33"/>
    <mergeCell ref="J34:J39"/>
    <mergeCell ref="K34:K39"/>
    <mergeCell ref="L34:L39"/>
    <mergeCell ref="A22:A27"/>
    <mergeCell ref="B22:B27"/>
    <mergeCell ref="C22:C27"/>
    <mergeCell ref="A28:A33"/>
    <mergeCell ref="B28:B33"/>
    <mergeCell ref="C28:C33"/>
    <mergeCell ref="D28:D33"/>
    <mergeCell ref="E28:E33"/>
    <mergeCell ref="F28:F33"/>
    <mergeCell ref="D22:D27"/>
    <mergeCell ref="E22:E27"/>
    <mergeCell ref="J28:J33"/>
    <mergeCell ref="K28:K33"/>
    <mergeCell ref="L28:L33"/>
    <mergeCell ref="F22:F27"/>
    <mergeCell ref="G22:G27"/>
    <mergeCell ref="H22:H27"/>
    <mergeCell ref="I22:I27"/>
    <mergeCell ref="J22:J27"/>
    <mergeCell ref="G28:G33"/>
    <mergeCell ref="H28:H33"/>
    <mergeCell ref="I28:I33"/>
    <mergeCell ref="K22:K27"/>
    <mergeCell ref="L22:L27"/>
    <mergeCell ref="A40:A45"/>
    <mergeCell ref="B40:B45"/>
    <mergeCell ref="C40:C45"/>
    <mergeCell ref="D40:D45"/>
    <mergeCell ref="E40:E45"/>
    <mergeCell ref="A34:A39"/>
    <mergeCell ref="B34:B39"/>
    <mergeCell ref="C34:C39"/>
    <mergeCell ref="D34:D39"/>
    <mergeCell ref="E34:E39"/>
    <mergeCell ref="M34:M39"/>
    <mergeCell ref="N34:N39"/>
    <mergeCell ref="F40:F45"/>
    <mergeCell ref="G40:G45"/>
    <mergeCell ref="H40:H45"/>
    <mergeCell ref="I40:I45"/>
    <mergeCell ref="J40:J45"/>
    <mergeCell ref="F34:F39"/>
    <mergeCell ref="G34:G39"/>
    <mergeCell ref="H34:H39"/>
    <mergeCell ref="I34:I39"/>
    <mergeCell ref="K40:K45"/>
    <mergeCell ref="L40:L45"/>
    <mergeCell ref="M40:M45"/>
    <mergeCell ref="N40:N45"/>
    <mergeCell ref="K46:K51"/>
    <mergeCell ref="L46:L51"/>
    <mergeCell ref="A46:A51"/>
    <mergeCell ref="B46:B51"/>
    <mergeCell ref="C46:C51"/>
    <mergeCell ref="D46:D51"/>
    <mergeCell ref="E46:E51"/>
    <mergeCell ref="F46:F51"/>
    <mergeCell ref="G46:G51"/>
    <mergeCell ref="H46:H51"/>
    <mergeCell ref="I46:I51"/>
    <mergeCell ref="A1:AJ2"/>
    <mergeCell ref="A7:G7"/>
    <mergeCell ref="H7:N7"/>
    <mergeCell ref="O7:W7"/>
    <mergeCell ref="X7:AD7"/>
    <mergeCell ref="AE7:AJ7"/>
    <mergeCell ref="B58:AJ58"/>
    <mergeCell ref="M46:M51"/>
    <mergeCell ref="N46:N51"/>
    <mergeCell ref="A52:A57"/>
    <mergeCell ref="B52:B57"/>
    <mergeCell ref="C52:C57"/>
    <mergeCell ref="D52:D57"/>
    <mergeCell ref="E52:E57"/>
    <mergeCell ref="F52:F57"/>
    <mergeCell ref="G52:G57"/>
    <mergeCell ref="H52:H57"/>
    <mergeCell ref="I52:I57"/>
    <mergeCell ref="J52:J57"/>
    <mergeCell ref="K52:K57"/>
    <mergeCell ref="L52:L57"/>
    <mergeCell ref="M52:M57"/>
    <mergeCell ref="N52:N57"/>
    <mergeCell ref="J46:J51"/>
  </mergeCells>
  <conditionalFormatting sqref="H10">
    <cfRule type="cellIs" dxfId="91" priority="62" operator="equal">
      <formula>"Baja"</formula>
    </cfRule>
    <cfRule type="cellIs" dxfId="90" priority="59" operator="equal">
      <formula>"Muy Alta"</formula>
    </cfRule>
    <cfRule type="cellIs" dxfId="89" priority="60" operator="equal">
      <formula>"Alta"</formula>
    </cfRule>
    <cfRule type="cellIs" dxfId="88" priority="61" operator="equal">
      <formula>"Media"</formula>
    </cfRule>
    <cfRule type="cellIs" dxfId="87" priority="63" operator="equal">
      <formula>"Muy Baja"</formula>
    </cfRule>
  </conditionalFormatting>
  <conditionalFormatting sqref="H16">
    <cfRule type="cellIs" dxfId="86" priority="54" operator="equal">
      <formula>"Muy Alta"</formula>
    </cfRule>
    <cfRule type="cellIs" dxfId="85" priority="55" operator="equal">
      <formula>"Alta"</formula>
    </cfRule>
    <cfRule type="cellIs" dxfId="84" priority="56" operator="equal">
      <formula>"Media"</formula>
    </cfRule>
    <cfRule type="cellIs" dxfId="83" priority="57" operator="equal">
      <formula>"Baja"</formula>
    </cfRule>
    <cfRule type="cellIs" dxfId="82" priority="58" operator="equal">
      <formula>"Muy Baja"</formula>
    </cfRule>
  </conditionalFormatting>
  <conditionalFormatting sqref="H22">
    <cfRule type="cellIs" dxfId="81" priority="51" operator="equal">
      <formula>"Media"</formula>
    </cfRule>
    <cfRule type="cellIs" dxfId="80" priority="52" operator="equal">
      <formula>"Baja"</formula>
    </cfRule>
    <cfRule type="cellIs" dxfId="79" priority="49" operator="equal">
      <formula>"Muy Alta"</formula>
    </cfRule>
    <cfRule type="cellIs" dxfId="78" priority="53" operator="equal">
      <formula>"Muy Baja"</formula>
    </cfRule>
    <cfRule type="cellIs" dxfId="77" priority="50" operator="equal">
      <formula>"Alta"</formula>
    </cfRule>
  </conditionalFormatting>
  <conditionalFormatting sqref="H28">
    <cfRule type="cellIs" dxfId="76" priority="44" operator="equal">
      <formula>"Muy Alta"</formula>
    </cfRule>
    <cfRule type="cellIs" dxfId="75" priority="45" operator="equal">
      <formula>"Alta"</formula>
    </cfRule>
    <cfRule type="cellIs" dxfId="74" priority="46" operator="equal">
      <formula>"Media"</formula>
    </cfRule>
    <cfRule type="cellIs" dxfId="73" priority="47" operator="equal">
      <formula>"Baja"</formula>
    </cfRule>
    <cfRule type="cellIs" dxfId="72" priority="48" operator="equal">
      <formula>"Muy Baja"</formula>
    </cfRule>
  </conditionalFormatting>
  <conditionalFormatting sqref="H34">
    <cfRule type="cellIs" dxfId="71" priority="39" operator="equal">
      <formula>"Muy Alta"</formula>
    </cfRule>
    <cfRule type="cellIs" dxfId="70" priority="40" operator="equal">
      <formula>"Alta"</formula>
    </cfRule>
    <cfRule type="cellIs" dxfId="69" priority="41" operator="equal">
      <formula>"Media"</formula>
    </cfRule>
    <cfRule type="cellIs" dxfId="68" priority="42" operator="equal">
      <formula>"Baja"</formula>
    </cfRule>
    <cfRule type="cellIs" dxfId="67" priority="43" operator="equal">
      <formula>"Muy Baja"</formula>
    </cfRule>
  </conditionalFormatting>
  <conditionalFormatting sqref="H40">
    <cfRule type="cellIs" dxfId="66" priority="34" operator="equal">
      <formula>"Muy Alta"</formula>
    </cfRule>
    <cfRule type="cellIs" dxfId="65" priority="35" operator="equal">
      <formula>"Alta"</formula>
    </cfRule>
    <cfRule type="cellIs" dxfId="64" priority="36" operator="equal">
      <formula>"Media"</formula>
    </cfRule>
    <cfRule type="cellIs" dxfId="63" priority="37" operator="equal">
      <formula>"Baja"</formula>
    </cfRule>
    <cfRule type="cellIs" dxfId="62" priority="38" operator="equal">
      <formula>"Muy Baja"</formula>
    </cfRule>
  </conditionalFormatting>
  <conditionalFormatting sqref="H46">
    <cfRule type="cellIs" dxfId="61" priority="32" operator="equal">
      <formula>"Baja"</formula>
    </cfRule>
    <cfRule type="cellIs" dxfId="60" priority="31" operator="equal">
      <formula>"Media"</formula>
    </cfRule>
    <cfRule type="cellIs" dxfId="59" priority="33" operator="equal">
      <formula>"Muy Baja"</formula>
    </cfRule>
    <cfRule type="cellIs" dxfId="58" priority="29" operator="equal">
      <formula>"Muy Alta"</formula>
    </cfRule>
    <cfRule type="cellIs" dxfId="57" priority="30" operator="equal">
      <formula>"Alta"</formula>
    </cfRule>
  </conditionalFormatting>
  <conditionalFormatting sqref="H52">
    <cfRule type="cellIs" dxfId="56" priority="25" operator="equal">
      <formula>"Alta"</formula>
    </cfRule>
    <cfRule type="cellIs" dxfId="55" priority="26" operator="equal">
      <formula>"Media"</formula>
    </cfRule>
    <cfRule type="cellIs" dxfId="54" priority="27" operator="equal">
      <formula>"Baja"</formula>
    </cfRule>
    <cfRule type="cellIs" dxfId="53" priority="28" operator="equal">
      <formula>"Muy Baja"</formula>
    </cfRule>
    <cfRule type="cellIs" dxfId="52" priority="24" operator="equal">
      <formula>"Muy Alta"</formula>
    </cfRule>
  </conditionalFormatting>
  <conditionalFormatting sqref="K10:K57">
    <cfRule type="containsText" dxfId="51" priority="69" operator="containsText" text="❌">
      <formula>NOT(ISERROR(SEARCH("❌",K10)))</formula>
    </cfRule>
  </conditionalFormatting>
  <conditionalFormatting sqref="L10 L16 L22 L28 L34 L40 L46 L52">
    <cfRule type="cellIs" dxfId="50" priority="383" operator="equal">
      <formula>"Mayor"</formula>
    </cfRule>
    <cfRule type="cellIs" dxfId="49" priority="382" operator="equal">
      <formula>"Catastrófico"</formula>
    </cfRule>
    <cfRule type="cellIs" dxfId="48" priority="386" operator="equal">
      <formula>"Leve"</formula>
    </cfRule>
    <cfRule type="cellIs" dxfId="47" priority="385" operator="equal">
      <formula>"Menor"</formula>
    </cfRule>
    <cfRule type="cellIs" dxfId="46" priority="384" operator="equal">
      <formula>"Moderado"</formula>
    </cfRule>
  </conditionalFormatting>
  <conditionalFormatting sqref="N10">
    <cfRule type="cellIs" dxfId="45" priority="283" operator="equal">
      <formula>"Bajo"</formula>
    </cfRule>
    <cfRule type="cellIs" dxfId="44" priority="282" operator="equal">
      <formula>"Moderado"</formula>
    </cfRule>
    <cfRule type="cellIs" dxfId="43" priority="281" operator="equal">
      <formula>"Alto"</formula>
    </cfRule>
    <cfRule type="cellIs" dxfId="42" priority="280" operator="equal">
      <formula>"Extremo"</formula>
    </cfRule>
  </conditionalFormatting>
  <conditionalFormatting sqref="N16">
    <cfRule type="cellIs" dxfId="41" priority="252" operator="equal">
      <formula>"Extremo"</formula>
    </cfRule>
    <cfRule type="cellIs" dxfId="40" priority="253" operator="equal">
      <formula>"Alto"</formula>
    </cfRule>
    <cfRule type="cellIs" dxfId="39" priority="254" operator="equal">
      <formula>"Moderado"</formula>
    </cfRule>
    <cfRule type="cellIs" dxfId="38" priority="255" operator="equal">
      <formula>"Bajo"</formula>
    </cfRule>
  </conditionalFormatting>
  <conditionalFormatting sqref="N22">
    <cfRule type="cellIs" dxfId="37" priority="227" operator="equal">
      <formula>"Bajo"</formula>
    </cfRule>
    <cfRule type="cellIs" dxfId="36" priority="226" operator="equal">
      <formula>"Moderado"</formula>
    </cfRule>
    <cfRule type="cellIs" dxfId="35" priority="225" operator="equal">
      <formula>"Alto"</formula>
    </cfRule>
    <cfRule type="cellIs" dxfId="34" priority="224" operator="equal">
      <formula>"Extremo"</formula>
    </cfRule>
  </conditionalFormatting>
  <conditionalFormatting sqref="N28">
    <cfRule type="cellIs" dxfId="33" priority="197" operator="equal">
      <formula>"Alto"</formula>
    </cfRule>
    <cfRule type="cellIs" dxfId="32" priority="198" operator="equal">
      <formula>"Moderado"</formula>
    </cfRule>
    <cfRule type="cellIs" dxfId="31" priority="196" operator="equal">
      <formula>"Extremo"</formula>
    </cfRule>
    <cfRule type="cellIs" dxfId="30" priority="199" operator="equal">
      <formula>"Bajo"</formula>
    </cfRule>
  </conditionalFormatting>
  <conditionalFormatting sqref="N34">
    <cfRule type="cellIs" dxfId="29" priority="170" operator="equal">
      <formula>"Moderado"</formula>
    </cfRule>
    <cfRule type="cellIs" dxfId="28" priority="169" operator="equal">
      <formula>"Alto"</formula>
    </cfRule>
    <cfRule type="cellIs" dxfId="27" priority="168" operator="equal">
      <formula>"Extremo"</formula>
    </cfRule>
    <cfRule type="cellIs" dxfId="26" priority="171" operator="equal">
      <formula>"Bajo"</formula>
    </cfRule>
  </conditionalFormatting>
  <conditionalFormatting sqref="N40">
    <cfRule type="cellIs" dxfId="25" priority="140" operator="equal">
      <formula>"Extremo"</formula>
    </cfRule>
    <cfRule type="cellIs" dxfId="24" priority="143" operator="equal">
      <formula>"Bajo"</formula>
    </cfRule>
    <cfRule type="cellIs" dxfId="23" priority="142" operator="equal">
      <formula>"Moderado"</formula>
    </cfRule>
    <cfRule type="cellIs" dxfId="22" priority="141" operator="equal">
      <formula>"Alto"</formula>
    </cfRule>
  </conditionalFormatting>
  <conditionalFormatting sqref="N46">
    <cfRule type="cellIs" dxfId="21" priority="112" operator="equal">
      <formula>"Extremo"</formula>
    </cfRule>
    <cfRule type="cellIs" dxfId="20" priority="115" operator="equal">
      <formula>"Bajo"</formula>
    </cfRule>
    <cfRule type="cellIs" dxfId="19" priority="114" operator="equal">
      <formula>"Moderado"</formula>
    </cfRule>
    <cfRule type="cellIs" dxfId="18" priority="113" operator="equal">
      <formula>"Alto"</formula>
    </cfRule>
  </conditionalFormatting>
  <conditionalFormatting sqref="N52">
    <cfRule type="cellIs" dxfId="17" priority="85" operator="equal">
      <formula>"Alto"</formula>
    </cfRule>
    <cfRule type="cellIs" dxfId="16" priority="86" operator="equal">
      <formula>"Moderado"</formula>
    </cfRule>
    <cfRule type="cellIs" dxfId="15" priority="84" operator="equal">
      <formula>"Extremo"</formula>
    </cfRule>
    <cfRule type="cellIs" dxfId="14" priority="87" operator="equal">
      <formula>"Bajo"</formula>
    </cfRule>
  </conditionalFormatting>
  <conditionalFormatting sqref="Y10:Y57">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A10:AA57">
    <cfRule type="cellIs" dxfId="8" priority="8" operator="equal">
      <formula>"Menor"</formula>
    </cfRule>
    <cfRule type="cellIs" dxfId="7" priority="7" operator="equal">
      <formula>"Moderado"</formula>
    </cfRule>
    <cfRule type="cellIs" dxfId="6" priority="6" operator="equal">
      <formula>"Mayor"</formula>
    </cfRule>
    <cfRule type="cellIs" dxfId="5" priority="5" operator="equal">
      <formula>"Catastrófico"</formula>
    </cfRule>
    <cfRule type="cellIs" dxfId="4" priority="9" operator="equal">
      <formula>"Leve"</formula>
    </cfRule>
  </conditionalFormatting>
  <conditionalFormatting sqref="AC10:AC57">
    <cfRule type="cellIs" dxfId="3" priority="3" operator="equal">
      <formula>"Moderado"</formula>
    </cfRule>
    <cfRule type="cellIs" dxfId="2" priority="4" operator="equal">
      <formula>"Bajo"</formula>
    </cfRule>
    <cfRule type="cellIs" dxfId="1" priority="1" operator="equal">
      <formula>"Extremo"</formula>
    </cfRule>
    <cfRule type="cellIs" dxfId="0" priority="2" operator="equal">
      <formula>"Alto"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AJ10:AJ11 AJ13:AJ14 AJ16:AJ17 AJ19:AJ20 AJ22:AJ23 AJ25:AJ26 AJ28:AJ29 AJ31:AJ32 AJ34:AJ35 AJ37:AJ38 AJ40:AJ41 AJ43:AJ44 AJ46:AJ47 AJ49:AJ50 AJ52:AJ53 AJ55:AJ56</xm:sqref>
        </x14:dataValidation>
        <x14:dataValidation type="list" allowBlank="1" showInputMessage="1" showErrorMessage="1" xr:uid="{00000000-0002-0000-0100-000001000000}">
          <x14:formula1>
            <xm:f>'Tabla Valoración controles'!$D$4:$D$6</xm:f>
          </x14:formula1>
          <xm:sqref>R10:R57</xm:sqref>
        </x14:dataValidation>
        <x14:dataValidation type="list" allowBlank="1" showInputMessage="1" showErrorMessage="1" xr:uid="{00000000-0002-0000-0100-000002000000}">
          <x14:formula1>
            <xm:f>'Tabla Valoración controles'!$D$7:$D$8</xm:f>
          </x14:formula1>
          <xm:sqref>S10:S57</xm:sqref>
        </x14:dataValidation>
        <x14:dataValidation type="list" allowBlank="1" showInputMessage="1" showErrorMessage="1" xr:uid="{00000000-0002-0000-0100-000003000000}">
          <x14:formula1>
            <xm:f>'Tabla Valoración controles'!$D$9:$D$10</xm:f>
          </x14:formula1>
          <xm:sqref>U10:U57</xm:sqref>
        </x14:dataValidation>
        <x14:dataValidation type="list" allowBlank="1" showInputMessage="1" showErrorMessage="1" xr:uid="{00000000-0002-0000-0100-000004000000}">
          <x14:formula1>
            <xm:f>'Tabla Valoración controles'!$D$11:$D$12</xm:f>
          </x14:formula1>
          <xm:sqref>V10:V57</xm:sqref>
        </x14:dataValidation>
        <x14:dataValidation type="list" allowBlank="1" showInputMessage="1" showErrorMessage="1" xr:uid="{00000000-0002-0000-0100-000005000000}">
          <x14:formula1>
            <xm:f>'Tabla Valoración controles'!$D$13:$D$14</xm:f>
          </x14:formula1>
          <xm:sqref>W10:W57</xm:sqref>
        </x14:dataValidation>
        <x14:dataValidation type="list" allowBlank="1" showInputMessage="1" showErrorMessage="1" xr:uid="{00000000-0002-0000-0100-000006000000}">
          <x14:formula1>
            <xm:f>'Opciones Tratamiento'!$B$13:$B$19</xm:f>
          </x14:formula1>
          <xm:sqref>F10:F57</xm:sqref>
        </x14:dataValidation>
        <x14:dataValidation type="list" allowBlank="1" showInputMessage="1" showErrorMessage="1" xr:uid="{00000000-0002-0000-0100-000007000000}">
          <x14:formula1>
            <xm:f>'Opciones Tratamiento'!$E$2:$E$4</xm:f>
          </x14:formula1>
          <xm:sqref>B10:B57</xm:sqref>
        </x14:dataValidation>
        <x14:dataValidation type="list" allowBlank="1" showInputMessage="1" showErrorMessage="1" xr:uid="{00000000-0002-0000-0100-000008000000}">
          <x14:formula1>
            <xm:f>'Opciones Tratamiento'!$B$2:$B$5</xm:f>
          </x14:formula1>
          <xm:sqref>AD10:AD57</xm:sqref>
        </x14:dataValidation>
        <x14:dataValidation type="list" allowBlank="1" showInputMessage="1" showErrorMessage="1" xr:uid="{00000000-0002-0000-0100-000009000000}">
          <x14:formula1>
            <xm:f>'Tabla Impacto'!$F$210:$F$221</xm:f>
          </x14:formula1>
          <xm:sqref>J10:J57</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AE10:AE57</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AF10:AF57</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AG10:AG57</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AH10:AH57</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6" sqref="J6:K7"/>
    </sheetView>
  </sheetViews>
  <sheetFormatPr baseColWidth="10" defaultRowHeight="15" x14ac:dyDescent="0.25"/>
  <cols>
    <col min="2" max="39" width="5.7109375" customWidth="1"/>
    <col min="41" max="46" width="5.7109375" customWidth="1"/>
  </cols>
  <sheetData>
    <row r="1" spans="1:99"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row>
    <row r="2" spans="1:99" ht="18" customHeight="1" x14ac:dyDescent="0.25">
      <c r="A2" s="74"/>
      <c r="B2" s="322" t="s">
        <v>159</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row>
    <row r="3" spans="1:99" ht="18.75" customHeight="1" x14ac:dyDescent="0.25">
      <c r="A3" s="74"/>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row>
    <row r="4" spans="1:99" ht="15" customHeight="1" x14ac:dyDescent="0.25">
      <c r="A4" s="74"/>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row>
    <row r="5" spans="1:99"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row>
    <row r="6" spans="1:99" ht="15" customHeight="1" x14ac:dyDescent="0.25">
      <c r="A6" s="74"/>
      <c r="B6" s="237" t="s">
        <v>4</v>
      </c>
      <c r="C6" s="237"/>
      <c r="D6" s="238"/>
      <c r="E6" s="275" t="s">
        <v>114</v>
      </c>
      <c r="F6" s="276"/>
      <c r="G6" s="276"/>
      <c r="H6" s="276"/>
      <c r="I6" s="277"/>
      <c r="J6" s="286" t="e">
        <f>IF(AND('Mapa final'!#REF!="Muy Alta",'Mapa final'!#REF!="Leve"),CONCATENATE("R",'Mapa final'!#REF!),"")</f>
        <v>#REF!</v>
      </c>
      <c r="K6" s="287"/>
      <c r="L6" s="287" t="e">
        <f>IF(AND('Mapa final'!#REF!="Muy Alta",'Mapa final'!#REF!="Leve"),CONCATENATE("R",'Mapa final'!#REF!),"")</f>
        <v>#REF!</v>
      </c>
      <c r="M6" s="287"/>
      <c r="N6" s="287" t="str">
        <f ca="1">IF(AND('Mapa final'!$H$10="Muy Alta",'Mapa final'!$L$10="Leve"),CONCATENATE("R",'Mapa final'!$A$10),"")</f>
        <v/>
      </c>
      <c r="O6" s="289"/>
      <c r="P6" s="286" t="e">
        <f>IF(AND('Mapa final'!#REF!="Muy Alta",'Mapa final'!#REF!="Menor"),CONCATENATE("R",'Mapa final'!#REF!),"")</f>
        <v>#REF!</v>
      </c>
      <c r="Q6" s="287"/>
      <c r="R6" s="287" t="e">
        <f>IF(AND('Mapa final'!#REF!="Muy Alta",'Mapa final'!#REF!="Menor"),CONCATENATE("R",'Mapa final'!#REF!),"")</f>
        <v>#REF!</v>
      </c>
      <c r="S6" s="287"/>
      <c r="T6" s="287" t="str">
        <f ca="1">IF(AND('Mapa final'!$H$10="Muy Alta",'Mapa final'!$L$10="Menor"),CONCATENATE("R",'Mapa final'!$A$10),"")</f>
        <v/>
      </c>
      <c r="U6" s="289"/>
      <c r="V6" s="286" t="e">
        <f>IF(AND('Mapa final'!#REF!="Muy Alta",'Mapa final'!#REF!="Moderado"),CONCATENATE("R",'Mapa final'!#REF!),"")</f>
        <v>#REF!</v>
      </c>
      <c r="W6" s="287"/>
      <c r="X6" s="287" t="e">
        <f>IF(AND('Mapa final'!#REF!="Muy Alta",'Mapa final'!#REF!="Moderado"),CONCATENATE("R",'Mapa final'!#REF!),"")</f>
        <v>#REF!</v>
      </c>
      <c r="Y6" s="287"/>
      <c r="Z6" s="287" t="str">
        <f ca="1">IF(AND('Mapa final'!$H$10="Muy Alta",'Mapa final'!$L$10="Moderado"),CONCATENATE("R",'Mapa final'!$A$10),"")</f>
        <v/>
      </c>
      <c r="AA6" s="289"/>
      <c r="AB6" s="286" t="e">
        <f>IF(AND('Mapa final'!#REF!="Muy Alta",'Mapa final'!#REF!="Mayor"),CONCATENATE("R",'Mapa final'!#REF!),"")</f>
        <v>#REF!</v>
      </c>
      <c r="AC6" s="287"/>
      <c r="AD6" s="287" t="e">
        <f>IF(AND('Mapa final'!#REF!="Muy Alta",'Mapa final'!#REF!="Mayor"),CONCATENATE("R",'Mapa final'!#REF!),"")</f>
        <v>#REF!</v>
      </c>
      <c r="AE6" s="287"/>
      <c r="AF6" s="287" t="str">
        <f ca="1">IF(AND('Mapa final'!$H$10="Muy Alta",'Mapa final'!$L$10="Mayor"),CONCATENATE("R",'Mapa final'!$A$10),"")</f>
        <v/>
      </c>
      <c r="AG6" s="289"/>
      <c r="AH6" s="301" t="e">
        <f>IF(AND('Mapa final'!#REF!="Muy Alta",'Mapa final'!#REF!="Catastrófico"),CONCATENATE("R",'Mapa final'!#REF!),"")</f>
        <v>#REF!</v>
      </c>
      <c r="AI6" s="302"/>
      <c r="AJ6" s="302" t="e">
        <f>IF(AND('Mapa final'!#REF!="Muy Alta",'Mapa final'!#REF!="Catastrófico"),CONCATENATE("R",'Mapa final'!#REF!),"")</f>
        <v>#REF!</v>
      </c>
      <c r="AK6" s="302"/>
      <c r="AL6" s="302" t="str">
        <f ca="1">IF(AND('Mapa final'!$H$10="Muy Alta",'Mapa final'!$L$10="Catastrófico"),CONCATENATE("R",'Mapa final'!$A$10),"")</f>
        <v/>
      </c>
      <c r="AM6" s="303"/>
      <c r="AO6" s="239" t="s">
        <v>79</v>
      </c>
      <c r="AP6" s="240"/>
      <c r="AQ6" s="240"/>
      <c r="AR6" s="240"/>
      <c r="AS6" s="240"/>
      <c r="AT6" s="241"/>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99" ht="15" customHeight="1" x14ac:dyDescent="0.25">
      <c r="A7" s="74"/>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74"/>
      <c r="AO7" s="242"/>
      <c r="AP7" s="243"/>
      <c r="AQ7" s="243"/>
      <c r="AR7" s="243"/>
      <c r="AS7" s="243"/>
      <c r="AT7" s="24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row>
    <row r="8" spans="1:99" ht="15" customHeight="1" x14ac:dyDescent="0.25">
      <c r="A8" s="74"/>
      <c r="B8" s="237"/>
      <c r="C8" s="237"/>
      <c r="D8" s="238"/>
      <c r="E8" s="278"/>
      <c r="F8" s="279"/>
      <c r="G8" s="279"/>
      <c r="H8" s="279"/>
      <c r="I8" s="280"/>
      <c r="J8" s="288" t="str">
        <f ca="1">IF(AND('Mapa final'!$H$16="Muy Alta",'Mapa final'!$L$16="Leve"),CONCATENATE("R",'Mapa final'!$A$16),"")</f>
        <v/>
      </c>
      <c r="K8" s="284"/>
      <c r="L8" s="284" t="str">
        <f ca="1">IF(AND('Mapa final'!$H$22="Muy Alta",'Mapa final'!$L$22="Leve"),CONCATENATE("R",'Mapa final'!$A$22),"")</f>
        <v/>
      </c>
      <c r="M8" s="284"/>
      <c r="N8" s="284" t="str">
        <f ca="1">IF(AND('Mapa final'!$H$28="Muy Alta",'Mapa final'!$L$28="Leve"),CONCATENATE("R",'Mapa final'!$A$28),"")</f>
        <v/>
      </c>
      <c r="O8" s="285"/>
      <c r="P8" s="288" t="str">
        <f ca="1">IF(AND('Mapa final'!$H$16="Muy Alta",'Mapa final'!$L$16="Menor"),CONCATENATE("R",'Mapa final'!$A$16),"")</f>
        <v/>
      </c>
      <c r="Q8" s="284"/>
      <c r="R8" s="284" t="str">
        <f ca="1">IF(AND('Mapa final'!$H$22="Muy Alta",'Mapa final'!$L$22="Menor"),CONCATENATE("R",'Mapa final'!$A$22),"")</f>
        <v/>
      </c>
      <c r="S8" s="284"/>
      <c r="T8" s="284" t="str">
        <f ca="1">IF(AND('Mapa final'!$H$28="Muy Alta",'Mapa final'!$L$28="Menor"),CONCATENATE("R",'Mapa final'!$A$28),"")</f>
        <v/>
      </c>
      <c r="U8" s="285"/>
      <c r="V8" s="288" t="str">
        <f ca="1">IF(AND('Mapa final'!$H$16="Muy Alta",'Mapa final'!$L$16="Moderado"),CONCATENATE("R",'Mapa final'!$A$16),"")</f>
        <v/>
      </c>
      <c r="W8" s="284"/>
      <c r="X8" s="284" t="str">
        <f ca="1">IF(AND('Mapa final'!$H$22="Muy Alta",'Mapa final'!$L$22="Moderado"),CONCATENATE("R",'Mapa final'!$A$22),"")</f>
        <v/>
      </c>
      <c r="Y8" s="284"/>
      <c r="Z8" s="284" t="str">
        <f ca="1">IF(AND('Mapa final'!$H$28="Muy Alta",'Mapa final'!$L$28="Moderado"),CONCATENATE("R",'Mapa final'!$A$28),"")</f>
        <v/>
      </c>
      <c r="AA8" s="285"/>
      <c r="AB8" s="288" t="str">
        <f ca="1">IF(AND('Mapa final'!$H$16="Muy Alta",'Mapa final'!$L$16="Mayor"),CONCATENATE("R",'Mapa final'!$A$16),"")</f>
        <v/>
      </c>
      <c r="AC8" s="284"/>
      <c r="AD8" s="284" t="str">
        <f ca="1">IF(AND('Mapa final'!$H$22="Muy Alta",'Mapa final'!$L$22="Mayor"),CONCATENATE("R",'Mapa final'!$A$22),"")</f>
        <v/>
      </c>
      <c r="AE8" s="284"/>
      <c r="AF8" s="284" t="str">
        <f ca="1">IF(AND('Mapa final'!$H$28="Muy Alta",'Mapa final'!$L$28="Mayor"),CONCATENATE("R",'Mapa final'!$A$28),"")</f>
        <v/>
      </c>
      <c r="AG8" s="285"/>
      <c r="AH8" s="295" t="str">
        <f ca="1">IF(AND('Mapa final'!$H$16="Muy Alta",'Mapa final'!$L$16="Catastrófico"),CONCATENATE("R",'Mapa final'!$A$16),"")</f>
        <v/>
      </c>
      <c r="AI8" s="296"/>
      <c r="AJ8" s="296" t="str">
        <f ca="1">IF(AND('Mapa final'!$H$22="Muy Alta",'Mapa final'!$L$22="Catastrófico"),CONCATENATE("R",'Mapa final'!$A$22),"")</f>
        <v/>
      </c>
      <c r="AK8" s="296"/>
      <c r="AL8" s="296" t="str">
        <f ca="1">IF(AND('Mapa final'!$H$28="Muy Alta",'Mapa final'!$L$28="Catastrófico"),CONCATENATE("R",'Mapa final'!$A$28),"")</f>
        <v/>
      </c>
      <c r="AM8" s="297"/>
      <c r="AN8" s="74"/>
      <c r="AO8" s="242"/>
      <c r="AP8" s="243"/>
      <c r="AQ8" s="243"/>
      <c r="AR8" s="243"/>
      <c r="AS8" s="243"/>
      <c r="AT8" s="24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99" ht="15" customHeight="1" x14ac:dyDescent="0.25">
      <c r="A9" s="74"/>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74"/>
      <c r="AO9" s="242"/>
      <c r="AP9" s="243"/>
      <c r="AQ9" s="243"/>
      <c r="AR9" s="243"/>
      <c r="AS9" s="243"/>
      <c r="AT9" s="24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99" ht="15" customHeight="1" x14ac:dyDescent="0.25">
      <c r="A10" s="74"/>
      <c r="B10" s="237"/>
      <c r="C10" s="237"/>
      <c r="D10" s="238"/>
      <c r="E10" s="278"/>
      <c r="F10" s="279"/>
      <c r="G10" s="279"/>
      <c r="H10" s="279"/>
      <c r="I10" s="280"/>
      <c r="J10" s="288" t="str">
        <f ca="1">IF(AND('Mapa final'!$H$34="Muy Alta",'Mapa final'!$L$34="Leve"),CONCATENATE("R",'Mapa final'!$A$34),"")</f>
        <v/>
      </c>
      <c r="K10" s="284"/>
      <c r="L10" s="284" t="str">
        <f ca="1">IF(AND('Mapa final'!$H$40="Muy Alta",'Mapa final'!$L$40="Leve"),CONCATENATE("R",'Mapa final'!$A$40),"")</f>
        <v/>
      </c>
      <c r="M10" s="284"/>
      <c r="N10" s="284" t="str">
        <f ca="1">IF(AND('Mapa final'!$H$46="Muy Alta",'Mapa final'!$L$46="Leve"),CONCATENATE("R",'Mapa final'!$A$46),"")</f>
        <v/>
      </c>
      <c r="O10" s="285"/>
      <c r="P10" s="288" t="str">
        <f ca="1">IF(AND('Mapa final'!$H$34="Muy Alta",'Mapa final'!$L$34="Menor"),CONCATENATE("R",'Mapa final'!$A$34),"")</f>
        <v/>
      </c>
      <c r="Q10" s="284"/>
      <c r="R10" s="284" t="str">
        <f ca="1">IF(AND('Mapa final'!$H$40="Muy Alta",'Mapa final'!$L$40="Menor"),CONCATENATE("R",'Mapa final'!$A$40),"")</f>
        <v/>
      </c>
      <c r="S10" s="284"/>
      <c r="T10" s="284" t="str">
        <f ca="1">IF(AND('Mapa final'!$H$46="Muy Alta",'Mapa final'!$L$46="Menor"),CONCATENATE("R",'Mapa final'!$A$46),"")</f>
        <v/>
      </c>
      <c r="U10" s="285"/>
      <c r="V10" s="288" t="str">
        <f ca="1">IF(AND('Mapa final'!$H$34="Muy Alta",'Mapa final'!$L$34="Moderado"),CONCATENATE("R",'Mapa final'!$A$34),"")</f>
        <v/>
      </c>
      <c r="W10" s="284"/>
      <c r="X10" s="284" t="str">
        <f ca="1">IF(AND('Mapa final'!$H$40="Muy Alta",'Mapa final'!$L$40="Moderado"),CONCATENATE("R",'Mapa final'!$A$40),"")</f>
        <v/>
      </c>
      <c r="Y10" s="284"/>
      <c r="Z10" s="284" t="str">
        <f ca="1">IF(AND('Mapa final'!$H$46="Muy Alta",'Mapa final'!$L$46="Moderado"),CONCATENATE("R",'Mapa final'!$A$46),"")</f>
        <v/>
      </c>
      <c r="AA10" s="285"/>
      <c r="AB10" s="288" t="str">
        <f ca="1">IF(AND('Mapa final'!$H$34="Muy Alta",'Mapa final'!$L$34="Mayor"),CONCATENATE("R",'Mapa final'!$A$34),"")</f>
        <v/>
      </c>
      <c r="AC10" s="284"/>
      <c r="AD10" s="284" t="str">
        <f ca="1">IF(AND('Mapa final'!$H$40="Muy Alta",'Mapa final'!$L$40="Mayor"),CONCATENATE("R",'Mapa final'!$A$40),"")</f>
        <v/>
      </c>
      <c r="AE10" s="284"/>
      <c r="AF10" s="284" t="str">
        <f ca="1">IF(AND('Mapa final'!$H$46="Muy Alta",'Mapa final'!$L$46="Mayor"),CONCATENATE("R",'Mapa final'!$A$46),"")</f>
        <v/>
      </c>
      <c r="AG10" s="285"/>
      <c r="AH10" s="295" t="str">
        <f ca="1">IF(AND('Mapa final'!$H$34="Muy Alta",'Mapa final'!$L$34="Catastrófico"),CONCATENATE("R",'Mapa final'!$A$34),"")</f>
        <v/>
      </c>
      <c r="AI10" s="296"/>
      <c r="AJ10" s="296" t="str">
        <f ca="1">IF(AND('Mapa final'!$H$40="Muy Alta",'Mapa final'!$L$40="Catastrófico"),CONCATENATE("R",'Mapa final'!$A$40),"")</f>
        <v/>
      </c>
      <c r="AK10" s="296"/>
      <c r="AL10" s="296" t="str">
        <f ca="1">IF(AND('Mapa final'!$H$46="Muy Alta",'Mapa final'!$L$46="Catastrófico"),CONCATENATE("R",'Mapa final'!$A$46),"")</f>
        <v/>
      </c>
      <c r="AM10" s="297"/>
      <c r="AN10" s="74"/>
      <c r="AO10" s="242"/>
      <c r="AP10" s="243"/>
      <c r="AQ10" s="243"/>
      <c r="AR10" s="243"/>
      <c r="AS10" s="243"/>
      <c r="AT10" s="24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99" ht="15" customHeight="1" x14ac:dyDescent="0.25">
      <c r="A11" s="74"/>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74"/>
      <c r="AO11" s="242"/>
      <c r="AP11" s="243"/>
      <c r="AQ11" s="243"/>
      <c r="AR11" s="243"/>
      <c r="AS11" s="243"/>
      <c r="AT11" s="24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99" ht="15" customHeight="1" x14ac:dyDescent="0.25">
      <c r="A12" s="74"/>
      <c r="B12" s="237"/>
      <c r="C12" s="237"/>
      <c r="D12" s="238"/>
      <c r="E12" s="278"/>
      <c r="F12" s="279"/>
      <c r="G12" s="279"/>
      <c r="H12" s="279"/>
      <c r="I12" s="280"/>
      <c r="J12" s="288" t="str">
        <f ca="1">IF(AND('Mapa final'!$H$52="Muy Alta",'Mapa final'!$L$52="Leve"),CONCATENATE("R",'Mapa final'!$A$52),"")</f>
        <v/>
      </c>
      <c r="K12" s="284"/>
      <c r="L12" s="284" t="str">
        <f>IF(AND('Mapa final'!$H$58="Muy Alta",'Mapa final'!$L$58="Leve"),CONCATENATE("R",'Mapa final'!$A$58),"")</f>
        <v/>
      </c>
      <c r="M12" s="284"/>
      <c r="N12" s="284" t="str">
        <f>IF(AND('Mapa final'!$H$64="Muy Alta",'Mapa final'!$L$64="Leve"),CONCATENATE("R",'Mapa final'!$A$64),"")</f>
        <v/>
      </c>
      <c r="O12" s="285"/>
      <c r="P12" s="288" t="str">
        <f ca="1">IF(AND('Mapa final'!$H$52="Muy Alta",'Mapa final'!$L$52="Menor"),CONCATENATE("R",'Mapa final'!$A$52),"")</f>
        <v/>
      </c>
      <c r="Q12" s="284"/>
      <c r="R12" s="284" t="str">
        <f>IF(AND('Mapa final'!$H$58="Muy Alta",'Mapa final'!$L$58="Menor"),CONCATENATE("R",'Mapa final'!$A$58),"")</f>
        <v/>
      </c>
      <c r="S12" s="284"/>
      <c r="T12" s="284" t="str">
        <f>IF(AND('Mapa final'!$H$64="Muy Alta",'Mapa final'!$L$64="Menor"),CONCATENATE("R",'Mapa final'!$A$64),"")</f>
        <v/>
      </c>
      <c r="U12" s="285"/>
      <c r="V12" s="288" t="str">
        <f ca="1">IF(AND('Mapa final'!$H$52="Muy Alta",'Mapa final'!$L$52="Moderado"),CONCATENATE("R",'Mapa final'!$A$52),"")</f>
        <v/>
      </c>
      <c r="W12" s="284"/>
      <c r="X12" s="284" t="str">
        <f>IF(AND('Mapa final'!$H$58="Muy Alta",'Mapa final'!$L$58="Moderado"),CONCATENATE("R",'Mapa final'!$A$58),"")</f>
        <v/>
      </c>
      <c r="Y12" s="284"/>
      <c r="Z12" s="284" t="str">
        <f>IF(AND('Mapa final'!$H$64="Muy Alta",'Mapa final'!$L$64="Moderado"),CONCATENATE("R",'Mapa final'!$A$64),"")</f>
        <v/>
      </c>
      <c r="AA12" s="285"/>
      <c r="AB12" s="288" t="str">
        <f ca="1">IF(AND('Mapa final'!$H$52="Muy Alta",'Mapa final'!$L$52="Mayor"),CONCATENATE("R",'Mapa final'!$A$52),"")</f>
        <v/>
      </c>
      <c r="AC12" s="284"/>
      <c r="AD12" s="284" t="str">
        <f>IF(AND('Mapa final'!$H$58="Muy Alta",'Mapa final'!$L$58="Mayor"),CONCATENATE("R",'Mapa final'!$A$58),"")</f>
        <v/>
      </c>
      <c r="AE12" s="284"/>
      <c r="AF12" s="284" t="str">
        <f>IF(AND('Mapa final'!$H$64="Muy Alta",'Mapa final'!$L$64="Mayor"),CONCATENATE("R",'Mapa final'!$A$64),"")</f>
        <v/>
      </c>
      <c r="AG12" s="285"/>
      <c r="AH12" s="295" t="str">
        <f ca="1">IF(AND('Mapa final'!$H$52="Muy Alta",'Mapa final'!$L$52="Catastrófico"),CONCATENATE("R",'Mapa final'!$A$52),"")</f>
        <v/>
      </c>
      <c r="AI12" s="296"/>
      <c r="AJ12" s="296" t="str">
        <f>IF(AND('Mapa final'!$H$58="Muy Alta",'Mapa final'!$L$58="Catastrófico"),CONCATENATE("R",'Mapa final'!$A$58),"")</f>
        <v/>
      </c>
      <c r="AK12" s="296"/>
      <c r="AL12" s="296" t="str">
        <f>IF(AND('Mapa final'!$H$64="Muy Alta",'Mapa final'!$L$64="Catastrófico"),CONCATENATE("R",'Mapa final'!$A$64),"")</f>
        <v/>
      </c>
      <c r="AM12" s="297"/>
      <c r="AN12" s="74"/>
      <c r="AO12" s="242"/>
      <c r="AP12" s="243"/>
      <c r="AQ12" s="243"/>
      <c r="AR12" s="243"/>
      <c r="AS12" s="243"/>
      <c r="AT12" s="24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99" ht="15.75" customHeight="1" thickBot="1" x14ac:dyDescent="0.3">
      <c r="A13" s="74"/>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74"/>
      <c r="AO13" s="245"/>
      <c r="AP13" s="246"/>
      <c r="AQ13" s="246"/>
      <c r="AR13" s="246"/>
      <c r="AS13" s="246"/>
      <c r="AT13" s="247"/>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4" spans="1:99" ht="15" customHeight="1" x14ac:dyDescent="0.25">
      <c r="A14" s="74"/>
      <c r="B14" s="237"/>
      <c r="C14" s="237"/>
      <c r="D14" s="238"/>
      <c r="E14" s="275" t="s">
        <v>113</v>
      </c>
      <c r="F14" s="276"/>
      <c r="G14" s="276"/>
      <c r="H14" s="276"/>
      <c r="I14" s="276"/>
      <c r="J14" s="310" t="e">
        <f>IF(AND('Mapa final'!#REF!="Alta",'Mapa final'!#REF!="Leve"),CONCATENATE("R",'Mapa final'!#REF!),"")</f>
        <v>#REF!</v>
      </c>
      <c r="K14" s="311"/>
      <c r="L14" s="311" t="e">
        <f>IF(AND('Mapa final'!#REF!="Alta",'Mapa final'!#REF!="Leve"),CONCATENATE("R",'Mapa final'!#REF!),"")</f>
        <v>#REF!</v>
      </c>
      <c r="M14" s="311"/>
      <c r="N14" s="311" t="str">
        <f ca="1">IF(AND('Mapa final'!$H$10="Alta",'Mapa final'!$L$10="Leve"),CONCATENATE("R",'Mapa final'!$A$10),"")</f>
        <v/>
      </c>
      <c r="O14" s="312"/>
      <c r="P14" s="310" t="e">
        <f>IF(AND('Mapa final'!#REF!="Alta",'Mapa final'!#REF!="Menor"),CONCATENATE("R",'Mapa final'!#REF!),"")</f>
        <v>#REF!</v>
      </c>
      <c r="Q14" s="311"/>
      <c r="R14" s="311" t="e">
        <f>IF(AND('Mapa final'!#REF!="Alta",'Mapa final'!#REF!="Menor"),CONCATENATE("R",'Mapa final'!#REF!),"")</f>
        <v>#REF!</v>
      </c>
      <c r="S14" s="311"/>
      <c r="T14" s="311" t="str">
        <f ca="1">IF(AND('Mapa final'!$H$10="Alta",'Mapa final'!$L$10="Menor"),CONCATENATE("R",'Mapa final'!$A$10),"")</f>
        <v/>
      </c>
      <c r="U14" s="312"/>
      <c r="V14" s="286" t="e">
        <f>IF(AND('Mapa final'!#REF!="Alta",'Mapa final'!#REF!="Moderado"),CONCATENATE("R",'Mapa final'!#REF!),"")</f>
        <v>#REF!</v>
      </c>
      <c r="W14" s="287"/>
      <c r="X14" s="287" t="e">
        <f>IF(AND('Mapa final'!#REF!="Alta",'Mapa final'!#REF!="Moderado"),CONCATENATE("R",'Mapa final'!#REF!),"")</f>
        <v>#REF!</v>
      </c>
      <c r="Y14" s="287"/>
      <c r="Z14" s="287" t="str">
        <f ca="1">IF(AND('Mapa final'!$H$10="Alta",'Mapa final'!$L$10="Moderado"),CONCATENATE("R",'Mapa final'!$A$10),"")</f>
        <v/>
      </c>
      <c r="AA14" s="289"/>
      <c r="AB14" s="286" t="e">
        <f>IF(AND('Mapa final'!#REF!="Alta",'Mapa final'!#REF!="Mayor"),CONCATENATE("R",'Mapa final'!#REF!),"")</f>
        <v>#REF!</v>
      </c>
      <c r="AC14" s="287"/>
      <c r="AD14" s="287" t="e">
        <f>IF(AND('Mapa final'!#REF!="Alta",'Mapa final'!#REF!="Mayor"),CONCATENATE("R",'Mapa final'!#REF!),"")</f>
        <v>#REF!</v>
      </c>
      <c r="AE14" s="287"/>
      <c r="AF14" s="287" t="str">
        <f ca="1">IF(AND('Mapa final'!$H$10="Alta",'Mapa final'!$L$10="Mayor"),CONCATENATE("R",'Mapa final'!$A$10),"")</f>
        <v/>
      </c>
      <c r="AG14" s="289"/>
      <c r="AH14" s="301" t="e">
        <f>IF(AND('Mapa final'!#REF!="Alta",'Mapa final'!#REF!="Catastrófico"),CONCATENATE("R",'Mapa final'!#REF!),"")</f>
        <v>#REF!</v>
      </c>
      <c r="AI14" s="302"/>
      <c r="AJ14" s="302" t="e">
        <f>IF(AND('Mapa final'!#REF!="Alta",'Mapa final'!#REF!="Catastrófico"),CONCATENATE("R",'Mapa final'!#REF!),"")</f>
        <v>#REF!</v>
      </c>
      <c r="AK14" s="302"/>
      <c r="AL14" s="302" t="str">
        <f ca="1">IF(AND('Mapa final'!$H$10="Alta",'Mapa final'!$L$10="Catastrófico"),CONCATENATE("R",'Mapa final'!$A$10),"")</f>
        <v/>
      </c>
      <c r="AM14" s="303"/>
      <c r="AN14" s="74"/>
      <c r="AO14" s="248" t="s">
        <v>80</v>
      </c>
      <c r="AP14" s="249"/>
      <c r="AQ14" s="249"/>
      <c r="AR14" s="249"/>
      <c r="AS14" s="249"/>
      <c r="AT14" s="250"/>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row>
    <row r="15" spans="1:99" ht="15" customHeight="1" x14ac:dyDescent="0.25">
      <c r="A15" s="74"/>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74"/>
      <c r="AO15" s="251"/>
      <c r="AP15" s="252"/>
      <c r="AQ15" s="252"/>
      <c r="AR15" s="252"/>
      <c r="AS15" s="252"/>
      <c r="AT15" s="253"/>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row>
    <row r="16" spans="1:99" ht="15" customHeight="1" x14ac:dyDescent="0.25">
      <c r="A16" s="74"/>
      <c r="B16" s="237"/>
      <c r="C16" s="237"/>
      <c r="D16" s="238"/>
      <c r="E16" s="278"/>
      <c r="F16" s="279"/>
      <c r="G16" s="279"/>
      <c r="H16" s="279"/>
      <c r="I16" s="279"/>
      <c r="J16" s="304" t="str">
        <f ca="1">IF(AND('Mapa final'!$H$16="Alta",'Mapa final'!$L$16="Leve"),CONCATENATE("R",'Mapa final'!$A$16),"")</f>
        <v/>
      </c>
      <c r="K16" s="305"/>
      <c r="L16" s="305" t="str">
        <f ca="1">IF(AND('Mapa final'!$H$22="Alta",'Mapa final'!$L$22="Leve"),CONCATENATE("R",'Mapa final'!$A$22),"")</f>
        <v/>
      </c>
      <c r="M16" s="305"/>
      <c r="N16" s="305" t="str">
        <f ca="1">IF(AND('Mapa final'!$H$28="Alta",'Mapa final'!$L$28="Leve"),CONCATENATE("R",'Mapa final'!$A$28),"")</f>
        <v/>
      </c>
      <c r="O16" s="306"/>
      <c r="P16" s="304" t="str">
        <f ca="1">IF(AND('Mapa final'!$H$16="Alta",'Mapa final'!$L$16="Menor"),CONCATENATE("R",'Mapa final'!$A$16),"")</f>
        <v/>
      </c>
      <c r="Q16" s="305"/>
      <c r="R16" s="305" t="str">
        <f ca="1">IF(AND('Mapa final'!$H$22="Alta",'Mapa final'!$L$22="Menor"),CONCATENATE("R",'Mapa final'!$A$22),"")</f>
        <v/>
      </c>
      <c r="S16" s="305"/>
      <c r="T16" s="305" t="str">
        <f ca="1">IF(AND('Mapa final'!$H$28="Alta",'Mapa final'!$L$28="Menor"),CONCATENATE("R",'Mapa final'!$A$28),"")</f>
        <v/>
      </c>
      <c r="U16" s="306"/>
      <c r="V16" s="288" t="str">
        <f ca="1">IF(AND('Mapa final'!$H$16="Alta",'Mapa final'!$L$16="Moderado"),CONCATENATE("R",'Mapa final'!$A$16),"")</f>
        <v/>
      </c>
      <c r="W16" s="284"/>
      <c r="X16" s="284" t="str">
        <f ca="1">IF(AND('Mapa final'!$H$22="Alta",'Mapa final'!$L$22="Moderado"),CONCATENATE("R",'Mapa final'!$A$22),"")</f>
        <v/>
      </c>
      <c r="Y16" s="284"/>
      <c r="Z16" s="284" t="str">
        <f ca="1">IF(AND('Mapa final'!$H$28="Alta",'Mapa final'!$L$28="Moderado"),CONCATENATE("R",'Mapa final'!$A$28),"")</f>
        <v/>
      </c>
      <c r="AA16" s="285"/>
      <c r="AB16" s="288" t="str">
        <f ca="1">IF(AND('Mapa final'!$H$16="Alta",'Mapa final'!$L$16="Mayor"),CONCATENATE("R",'Mapa final'!$A$16),"")</f>
        <v/>
      </c>
      <c r="AC16" s="284"/>
      <c r="AD16" s="284" t="str">
        <f ca="1">IF(AND('Mapa final'!$H$22="Alta",'Mapa final'!$L$22="Mayor"),CONCATENATE("R",'Mapa final'!$A$22),"")</f>
        <v/>
      </c>
      <c r="AE16" s="284"/>
      <c r="AF16" s="284" t="str">
        <f ca="1">IF(AND('Mapa final'!$H$28="Alta",'Mapa final'!$L$28="Mayor"),CONCATENATE("R",'Mapa final'!$A$28),"")</f>
        <v/>
      </c>
      <c r="AG16" s="285"/>
      <c r="AH16" s="295" t="str">
        <f ca="1">IF(AND('Mapa final'!$H$16="Alta",'Mapa final'!$L$16="Catastrófico"),CONCATENATE("R",'Mapa final'!$A$16),"")</f>
        <v/>
      </c>
      <c r="AI16" s="296"/>
      <c r="AJ16" s="296" t="str">
        <f ca="1">IF(AND('Mapa final'!$H$22="Alta",'Mapa final'!$L$22="Catastrófico"),CONCATENATE("R",'Mapa final'!$A$22),"")</f>
        <v/>
      </c>
      <c r="AK16" s="296"/>
      <c r="AL16" s="296" t="str">
        <f ca="1">IF(AND('Mapa final'!$H$28="Alta",'Mapa final'!$L$28="Catastrófico"),CONCATENATE("R",'Mapa final'!$A$28),"")</f>
        <v/>
      </c>
      <c r="AM16" s="297"/>
      <c r="AN16" s="74"/>
      <c r="AO16" s="251"/>
      <c r="AP16" s="252"/>
      <c r="AQ16" s="252"/>
      <c r="AR16" s="252"/>
      <c r="AS16" s="252"/>
      <c r="AT16" s="253"/>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row>
    <row r="17" spans="1:80" ht="15" customHeight="1" x14ac:dyDescent="0.25">
      <c r="A17" s="74"/>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74"/>
      <c r="AO17" s="251"/>
      <c r="AP17" s="252"/>
      <c r="AQ17" s="252"/>
      <c r="AR17" s="252"/>
      <c r="AS17" s="252"/>
      <c r="AT17" s="253"/>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row>
    <row r="18" spans="1:80" ht="15" customHeight="1" x14ac:dyDescent="0.25">
      <c r="A18" s="74"/>
      <c r="B18" s="237"/>
      <c r="C18" s="237"/>
      <c r="D18" s="238"/>
      <c r="E18" s="278"/>
      <c r="F18" s="279"/>
      <c r="G18" s="279"/>
      <c r="H18" s="279"/>
      <c r="I18" s="279"/>
      <c r="J18" s="304" t="str">
        <f ca="1">IF(AND('Mapa final'!$H$34="Alta",'Mapa final'!$L$34="Leve"),CONCATENATE("R",'Mapa final'!$A$34),"")</f>
        <v/>
      </c>
      <c r="K18" s="305"/>
      <c r="L18" s="305" t="str">
        <f ca="1">IF(AND('Mapa final'!$H$40="Alta",'Mapa final'!$L$40="Leve"),CONCATENATE("R",'Mapa final'!$A$40),"")</f>
        <v/>
      </c>
      <c r="M18" s="305"/>
      <c r="N18" s="305" t="str">
        <f ca="1">IF(AND('Mapa final'!$H$46="Alta",'Mapa final'!$L$46="Leve"),CONCATENATE("R",'Mapa final'!$A$46),"")</f>
        <v/>
      </c>
      <c r="O18" s="306"/>
      <c r="P18" s="304" t="str">
        <f ca="1">IF(AND('Mapa final'!$H$34="Alta",'Mapa final'!$L$34="Menor"),CONCATENATE("R",'Mapa final'!$A$34),"")</f>
        <v/>
      </c>
      <c r="Q18" s="305"/>
      <c r="R18" s="305" t="str">
        <f ca="1">IF(AND('Mapa final'!$H$40="Alta",'Mapa final'!$L$40="Menor"),CONCATENATE("R",'Mapa final'!$A$40),"")</f>
        <v/>
      </c>
      <c r="S18" s="305"/>
      <c r="T18" s="305" t="str">
        <f ca="1">IF(AND('Mapa final'!$H$46="Alta",'Mapa final'!$L$46="Menor"),CONCATENATE("R",'Mapa final'!$A$46),"")</f>
        <v/>
      </c>
      <c r="U18" s="306"/>
      <c r="V18" s="288" t="str">
        <f ca="1">IF(AND('Mapa final'!$H$34="Alta",'Mapa final'!$L$34="Moderado"),CONCATENATE("R",'Mapa final'!$A$34),"")</f>
        <v/>
      </c>
      <c r="W18" s="284"/>
      <c r="X18" s="284" t="str">
        <f ca="1">IF(AND('Mapa final'!$H$40="Alta",'Mapa final'!$L$40="Moderado"),CONCATENATE("R",'Mapa final'!$A$40),"")</f>
        <v/>
      </c>
      <c r="Y18" s="284"/>
      <c r="Z18" s="284" t="str">
        <f ca="1">IF(AND('Mapa final'!$H$46="Alta",'Mapa final'!$L$46="Moderado"),CONCATENATE("R",'Mapa final'!$A$46),"")</f>
        <v/>
      </c>
      <c r="AA18" s="285"/>
      <c r="AB18" s="288" t="str">
        <f ca="1">IF(AND('Mapa final'!$H$34="Alta",'Mapa final'!$L$34="Mayor"),CONCATENATE("R",'Mapa final'!$A$34),"")</f>
        <v/>
      </c>
      <c r="AC18" s="284"/>
      <c r="AD18" s="284" t="str">
        <f ca="1">IF(AND('Mapa final'!$H$40="Alta",'Mapa final'!$L$40="Mayor"),CONCATENATE("R",'Mapa final'!$A$40),"")</f>
        <v/>
      </c>
      <c r="AE18" s="284"/>
      <c r="AF18" s="284" t="str">
        <f ca="1">IF(AND('Mapa final'!$H$46="Alta",'Mapa final'!$L$46="Mayor"),CONCATENATE("R",'Mapa final'!$A$46),"")</f>
        <v/>
      </c>
      <c r="AG18" s="285"/>
      <c r="AH18" s="295" t="str">
        <f ca="1">IF(AND('Mapa final'!$H$34="Alta",'Mapa final'!$L$34="Catastrófico"),CONCATENATE("R",'Mapa final'!$A$34),"")</f>
        <v/>
      </c>
      <c r="AI18" s="296"/>
      <c r="AJ18" s="296" t="str">
        <f ca="1">IF(AND('Mapa final'!$H$40="Alta",'Mapa final'!$L$40="Catastrófico"),CONCATENATE("R",'Mapa final'!$A$40),"")</f>
        <v/>
      </c>
      <c r="AK18" s="296"/>
      <c r="AL18" s="296" t="str">
        <f ca="1">IF(AND('Mapa final'!$H$46="Alta",'Mapa final'!$L$46="Catastrófico"),CONCATENATE("R",'Mapa final'!$A$46),"")</f>
        <v/>
      </c>
      <c r="AM18" s="297"/>
      <c r="AN18" s="74"/>
      <c r="AO18" s="251"/>
      <c r="AP18" s="252"/>
      <c r="AQ18" s="252"/>
      <c r="AR18" s="252"/>
      <c r="AS18" s="252"/>
      <c r="AT18" s="253"/>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row>
    <row r="19" spans="1:80" ht="15" customHeight="1" x14ac:dyDescent="0.25">
      <c r="A19" s="74"/>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74"/>
      <c r="AO19" s="251"/>
      <c r="AP19" s="252"/>
      <c r="AQ19" s="252"/>
      <c r="AR19" s="252"/>
      <c r="AS19" s="252"/>
      <c r="AT19" s="253"/>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row>
    <row r="20" spans="1:80" ht="15" customHeight="1" x14ac:dyDescent="0.25">
      <c r="A20" s="74"/>
      <c r="B20" s="237"/>
      <c r="C20" s="237"/>
      <c r="D20" s="238"/>
      <c r="E20" s="278"/>
      <c r="F20" s="279"/>
      <c r="G20" s="279"/>
      <c r="H20" s="279"/>
      <c r="I20" s="279"/>
      <c r="J20" s="304" t="str">
        <f ca="1">IF(AND('Mapa final'!$H$52="Alta",'Mapa final'!$L$52="Leve"),CONCATENATE("R",'Mapa final'!$A$52),"")</f>
        <v/>
      </c>
      <c r="K20" s="305"/>
      <c r="L20" s="305" t="str">
        <f>IF(AND('Mapa final'!$H$58="Alta",'Mapa final'!$L$58="Leve"),CONCATENATE("R",'Mapa final'!$A$58),"")</f>
        <v/>
      </c>
      <c r="M20" s="305"/>
      <c r="N20" s="305" t="str">
        <f>IF(AND('Mapa final'!$H$64="Alta",'Mapa final'!$L$64="Leve"),CONCATENATE("R",'Mapa final'!$A$64),"")</f>
        <v/>
      </c>
      <c r="O20" s="306"/>
      <c r="P20" s="304" t="str">
        <f ca="1">IF(AND('Mapa final'!$H$52="Alta",'Mapa final'!$L$52="Menor"),CONCATENATE("R",'Mapa final'!$A$52),"")</f>
        <v/>
      </c>
      <c r="Q20" s="305"/>
      <c r="R20" s="305" t="str">
        <f>IF(AND('Mapa final'!$H$58="Alta",'Mapa final'!$L$58="Menor"),CONCATENATE("R",'Mapa final'!$A$58),"")</f>
        <v/>
      </c>
      <c r="S20" s="305"/>
      <c r="T20" s="305" t="str">
        <f>IF(AND('Mapa final'!$H$64="Alta",'Mapa final'!$L$64="Menor"),CONCATENATE("R",'Mapa final'!$A$64),"")</f>
        <v/>
      </c>
      <c r="U20" s="306"/>
      <c r="V20" s="288" t="str">
        <f ca="1">IF(AND('Mapa final'!$H$52="Alta",'Mapa final'!$L$52="Moderado"),CONCATENATE("R",'Mapa final'!$A$52),"")</f>
        <v/>
      </c>
      <c r="W20" s="284"/>
      <c r="X20" s="284" t="str">
        <f>IF(AND('Mapa final'!$H$58="Alta",'Mapa final'!$L$58="Moderado"),CONCATENATE("R",'Mapa final'!$A$58),"")</f>
        <v/>
      </c>
      <c r="Y20" s="284"/>
      <c r="Z20" s="284" t="str">
        <f>IF(AND('Mapa final'!$H$64="Alta",'Mapa final'!$L$64="Moderado"),CONCATENATE("R",'Mapa final'!$A$64),"")</f>
        <v/>
      </c>
      <c r="AA20" s="285"/>
      <c r="AB20" s="288" t="str">
        <f ca="1">IF(AND('Mapa final'!$H$52="Alta",'Mapa final'!$L$52="Mayor"),CONCATENATE("R",'Mapa final'!$A$52),"")</f>
        <v/>
      </c>
      <c r="AC20" s="284"/>
      <c r="AD20" s="284" t="str">
        <f>IF(AND('Mapa final'!$H$58="Alta",'Mapa final'!$L$58="Mayor"),CONCATENATE("R",'Mapa final'!$A$58),"")</f>
        <v/>
      </c>
      <c r="AE20" s="284"/>
      <c r="AF20" s="284" t="str">
        <f>IF(AND('Mapa final'!$H$64="Alta",'Mapa final'!$L$64="Mayor"),CONCATENATE("R",'Mapa final'!$A$64),"")</f>
        <v/>
      </c>
      <c r="AG20" s="285"/>
      <c r="AH20" s="295" t="str">
        <f ca="1">IF(AND('Mapa final'!$H$52="Alta",'Mapa final'!$L$52="Catastrófico"),CONCATENATE("R",'Mapa final'!$A$52),"")</f>
        <v/>
      </c>
      <c r="AI20" s="296"/>
      <c r="AJ20" s="296" t="str">
        <f>IF(AND('Mapa final'!$H$58="Alta",'Mapa final'!$L$58="Catastrófico"),CONCATENATE("R",'Mapa final'!$A$58),"")</f>
        <v/>
      </c>
      <c r="AK20" s="296"/>
      <c r="AL20" s="296" t="str">
        <f>IF(AND('Mapa final'!$H$64="Alta",'Mapa final'!$L$64="Catastrófico"),CONCATENATE("R",'Mapa final'!$A$64),"")</f>
        <v/>
      </c>
      <c r="AM20" s="297"/>
      <c r="AN20" s="74"/>
      <c r="AO20" s="251"/>
      <c r="AP20" s="252"/>
      <c r="AQ20" s="252"/>
      <c r="AR20" s="252"/>
      <c r="AS20" s="252"/>
      <c r="AT20" s="253"/>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row>
    <row r="21" spans="1:80" ht="15.75" customHeight="1" thickBot="1" x14ac:dyDescent="0.3">
      <c r="A21" s="74"/>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74"/>
      <c r="AO21" s="254"/>
      <c r="AP21" s="255"/>
      <c r="AQ21" s="255"/>
      <c r="AR21" s="255"/>
      <c r="AS21" s="255"/>
      <c r="AT21" s="256"/>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row>
    <row r="22" spans="1:80" x14ac:dyDescent="0.25">
      <c r="A22" s="74"/>
      <c r="B22" s="237"/>
      <c r="C22" s="237"/>
      <c r="D22" s="238"/>
      <c r="E22" s="275" t="s">
        <v>115</v>
      </c>
      <c r="F22" s="276"/>
      <c r="G22" s="276"/>
      <c r="H22" s="276"/>
      <c r="I22" s="277"/>
      <c r="J22" s="310" t="e">
        <f>IF(AND('Mapa final'!#REF!="Media",'Mapa final'!#REF!="Leve"),CONCATENATE("R",'Mapa final'!#REF!),"")</f>
        <v>#REF!</v>
      </c>
      <c r="K22" s="311"/>
      <c r="L22" s="311" t="e">
        <f>IF(AND('Mapa final'!#REF!="Media",'Mapa final'!#REF!="Leve"),CONCATENATE("R",'Mapa final'!#REF!),"")</f>
        <v>#REF!</v>
      </c>
      <c r="M22" s="311"/>
      <c r="N22" s="311" t="str">
        <f ca="1">IF(AND('Mapa final'!$H$10="Media",'Mapa final'!$L$10="Leve"),CONCATENATE("R",'Mapa final'!$A$10),"")</f>
        <v/>
      </c>
      <c r="O22" s="312"/>
      <c r="P22" s="310" t="e">
        <f>IF(AND('Mapa final'!#REF!="Media",'Mapa final'!#REF!="Menor"),CONCATENATE("R",'Mapa final'!#REF!),"")</f>
        <v>#REF!</v>
      </c>
      <c r="Q22" s="311"/>
      <c r="R22" s="311" t="e">
        <f>IF(AND('Mapa final'!#REF!="Media",'Mapa final'!#REF!="Menor"),CONCATENATE("R",'Mapa final'!#REF!),"")</f>
        <v>#REF!</v>
      </c>
      <c r="S22" s="311"/>
      <c r="T22" s="311" t="str">
        <f ca="1">IF(AND('Mapa final'!$H$10="Media",'Mapa final'!$L$10="Menor"),CONCATENATE("R",'Mapa final'!$A$10),"")</f>
        <v/>
      </c>
      <c r="U22" s="312"/>
      <c r="V22" s="310" t="e">
        <f>IF(AND('Mapa final'!#REF!="Media",'Mapa final'!#REF!="Moderado"),CONCATENATE("R",'Mapa final'!#REF!),"")</f>
        <v>#REF!</v>
      </c>
      <c r="W22" s="311"/>
      <c r="X22" s="311" t="e">
        <f>IF(AND('Mapa final'!#REF!="Media",'Mapa final'!#REF!="Moderado"),CONCATENATE("R",'Mapa final'!#REF!),"")</f>
        <v>#REF!</v>
      </c>
      <c r="Y22" s="311"/>
      <c r="Z22" s="311" t="str">
        <f ca="1">IF(AND('Mapa final'!$H$10="Media",'Mapa final'!$L$10="Moderado"),CONCATENATE("R",'Mapa final'!$A$10),"")</f>
        <v/>
      </c>
      <c r="AA22" s="312"/>
      <c r="AB22" s="286" t="e">
        <f>IF(AND('Mapa final'!#REF!="Media",'Mapa final'!#REF!="Mayor"),CONCATENATE("R",'Mapa final'!#REF!),"")</f>
        <v>#REF!</v>
      </c>
      <c r="AC22" s="287"/>
      <c r="AD22" s="287" t="e">
        <f>IF(AND('Mapa final'!#REF!="Media",'Mapa final'!#REF!="Mayor"),CONCATENATE("R",'Mapa final'!#REF!),"")</f>
        <v>#REF!</v>
      </c>
      <c r="AE22" s="287"/>
      <c r="AF22" s="287" t="str">
        <f ca="1">IF(AND('Mapa final'!$H$10="Media",'Mapa final'!$L$10="Mayor"),CONCATENATE("R",'Mapa final'!$A$10),"")</f>
        <v>R1</v>
      </c>
      <c r="AG22" s="289"/>
      <c r="AH22" s="301" t="e">
        <f>IF(AND('Mapa final'!#REF!="Media",'Mapa final'!#REF!="Catastrófico"),CONCATENATE("R",'Mapa final'!#REF!),"")</f>
        <v>#REF!</v>
      </c>
      <c r="AI22" s="302"/>
      <c r="AJ22" s="302" t="e">
        <f>IF(AND('Mapa final'!#REF!="Media",'Mapa final'!#REF!="Catastrófico"),CONCATENATE("R",'Mapa final'!#REF!),"")</f>
        <v>#REF!</v>
      </c>
      <c r="AK22" s="302"/>
      <c r="AL22" s="302" t="str">
        <f ca="1">IF(AND('Mapa final'!$H$10="Media",'Mapa final'!$L$10="Catastrófico"),CONCATENATE("R",'Mapa final'!$A$10),"")</f>
        <v/>
      </c>
      <c r="AM22" s="303"/>
      <c r="AN22" s="74"/>
      <c r="AO22" s="257" t="s">
        <v>81</v>
      </c>
      <c r="AP22" s="258"/>
      <c r="AQ22" s="258"/>
      <c r="AR22" s="258"/>
      <c r="AS22" s="258"/>
      <c r="AT22" s="259"/>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row>
    <row r="23" spans="1:80" x14ac:dyDescent="0.25">
      <c r="A23" s="74"/>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74"/>
      <c r="AO23" s="260"/>
      <c r="AP23" s="261"/>
      <c r="AQ23" s="261"/>
      <c r="AR23" s="261"/>
      <c r="AS23" s="261"/>
      <c r="AT23" s="262"/>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row>
    <row r="24" spans="1:80" x14ac:dyDescent="0.25">
      <c r="A24" s="74"/>
      <c r="B24" s="237"/>
      <c r="C24" s="237"/>
      <c r="D24" s="238"/>
      <c r="E24" s="278"/>
      <c r="F24" s="279"/>
      <c r="G24" s="279"/>
      <c r="H24" s="279"/>
      <c r="I24" s="280"/>
      <c r="J24" s="304" t="str">
        <f ca="1">IF(AND('Mapa final'!$H$16="Media",'Mapa final'!$L$16="Leve"),CONCATENATE("R",'Mapa final'!$A$16),"")</f>
        <v/>
      </c>
      <c r="K24" s="305"/>
      <c r="L24" s="305" t="str">
        <f ca="1">IF(AND('Mapa final'!$H$22="Media",'Mapa final'!$L$22="Leve"),CONCATENATE("R",'Mapa final'!$A$22),"")</f>
        <v/>
      </c>
      <c r="M24" s="305"/>
      <c r="N24" s="305" t="str">
        <f ca="1">IF(AND('Mapa final'!$H$28="Media",'Mapa final'!$L$28="Leve"),CONCATENATE("R",'Mapa final'!$A$28),"")</f>
        <v/>
      </c>
      <c r="O24" s="306"/>
      <c r="P24" s="304" t="str">
        <f ca="1">IF(AND('Mapa final'!$H$16="Media",'Mapa final'!$L$16="Menor"),CONCATENATE("R",'Mapa final'!$A$16),"")</f>
        <v/>
      </c>
      <c r="Q24" s="305"/>
      <c r="R24" s="305" t="str">
        <f ca="1">IF(AND('Mapa final'!$H$22="Media",'Mapa final'!$L$22="Menor"),CONCATENATE("R",'Mapa final'!$A$22),"")</f>
        <v/>
      </c>
      <c r="S24" s="305"/>
      <c r="T24" s="305" t="str">
        <f ca="1">IF(AND('Mapa final'!$H$28="Media",'Mapa final'!$L$28="Menor"),CONCATENATE("R",'Mapa final'!$A$28),"")</f>
        <v/>
      </c>
      <c r="U24" s="306"/>
      <c r="V24" s="304" t="str">
        <f ca="1">IF(AND('Mapa final'!$H$16="Media",'Mapa final'!$L$16="Moderado"),CONCATENATE("R",'Mapa final'!$A$16),"")</f>
        <v/>
      </c>
      <c r="W24" s="305"/>
      <c r="X24" s="305" t="str">
        <f ca="1">IF(AND('Mapa final'!$H$22="Media",'Mapa final'!$L$22="Moderado"),CONCATENATE("R",'Mapa final'!$A$22),"")</f>
        <v/>
      </c>
      <c r="Y24" s="305"/>
      <c r="Z24" s="305" t="str">
        <f ca="1">IF(AND('Mapa final'!$H$28="Media",'Mapa final'!$L$28="Moderado"),CONCATENATE("R",'Mapa final'!$A$28),"")</f>
        <v/>
      </c>
      <c r="AA24" s="306"/>
      <c r="AB24" s="288" t="str">
        <f ca="1">IF(AND('Mapa final'!$H$16="Media",'Mapa final'!$L$16="Mayor"),CONCATENATE("R",'Mapa final'!$A$16),"")</f>
        <v>R2</v>
      </c>
      <c r="AC24" s="284"/>
      <c r="AD24" s="284" t="str">
        <f ca="1">IF(AND('Mapa final'!$H$22="Media",'Mapa final'!$L$22="Mayor"),CONCATENATE("R",'Mapa final'!$A$22),"")</f>
        <v>R3</v>
      </c>
      <c r="AE24" s="284"/>
      <c r="AF24" s="284" t="str">
        <f ca="1">IF(AND('Mapa final'!$H$28="Media",'Mapa final'!$L$28="Mayor"),CONCATENATE("R",'Mapa final'!$A$28),"")</f>
        <v>R4</v>
      </c>
      <c r="AG24" s="285"/>
      <c r="AH24" s="295" t="str">
        <f ca="1">IF(AND('Mapa final'!$H$16="Media",'Mapa final'!$L$16="Catastrófico"),CONCATENATE("R",'Mapa final'!$A$16),"")</f>
        <v/>
      </c>
      <c r="AI24" s="296"/>
      <c r="AJ24" s="296" t="str">
        <f ca="1">IF(AND('Mapa final'!$H$22="Media",'Mapa final'!$L$22="Catastrófico"),CONCATENATE("R",'Mapa final'!$A$22),"")</f>
        <v/>
      </c>
      <c r="AK24" s="296"/>
      <c r="AL24" s="296" t="str">
        <f ca="1">IF(AND('Mapa final'!$H$28="Media",'Mapa final'!$L$28="Catastrófico"),CONCATENATE("R",'Mapa final'!$A$28),"")</f>
        <v/>
      </c>
      <c r="AM24" s="297"/>
      <c r="AN24" s="74"/>
      <c r="AO24" s="260"/>
      <c r="AP24" s="261"/>
      <c r="AQ24" s="261"/>
      <c r="AR24" s="261"/>
      <c r="AS24" s="261"/>
      <c r="AT24" s="262"/>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row>
    <row r="25" spans="1:80" x14ac:dyDescent="0.25">
      <c r="A25" s="74"/>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74"/>
      <c r="AO25" s="260"/>
      <c r="AP25" s="261"/>
      <c r="AQ25" s="261"/>
      <c r="AR25" s="261"/>
      <c r="AS25" s="261"/>
      <c r="AT25" s="262"/>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row>
    <row r="26" spans="1:80" x14ac:dyDescent="0.25">
      <c r="A26" s="74"/>
      <c r="B26" s="237"/>
      <c r="C26" s="237"/>
      <c r="D26" s="238"/>
      <c r="E26" s="278"/>
      <c r="F26" s="279"/>
      <c r="G26" s="279"/>
      <c r="H26" s="279"/>
      <c r="I26" s="280"/>
      <c r="J26" s="304" t="str">
        <f ca="1">IF(AND('Mapa final'!$H$34="Media",'Mapa final'!$L$34="Leve"),CONCATENATE("R",'Mapa final'!$A$34),"")</f>
        <v/>
      </c>
      <c r="K26" s="305"/>
      <c r="L26" s="305" t="str">
        <f ca="1">IF(AND('Mapa final'!$H$40="Media",'Mapa final'!$L$40="Leve"),CONCATENATE("R",'Mapa final'!$A$40),"")</f>
        <v/>
      </c>
      <c r="M26" s="305"/>
      <c r="N26" s="305" t="str">
        <f ca="1">IF(AND('Mapa final'!$H$46="Media",'Mapa final'!$L$46="Leve"),CONCATENATE("R",'Mapa final'!$A$46),"")</f>
        <v/>
      </c>
      <c r="O26" s="306"/>
      <c r="P26" s="304" t="str">
        <f ca="1">IF(AND('Mapa final'!$H$34="Media",'Mapa final'!$L$34="Menor"),CONCATENATE("R",'Mapa final'!$A$34),"")</f>
        <v/>
      </c>
      <c r="Q26" s="305"/>
      <c r="R26" s="305" t="str">
        <f ca="1">IF(AND('Mapa final'!$H$40="Media",'Mapa final'!$L$40="Menor"),CONCATENATE("R",'Mapa final'!$A$40),"")</f>
        <v/>
      </c>
      <c r="S26" s="305"/>
      <c r="T26" s="305" t="str">
        <f ca="1">IF(AND('Mapa final'!$H$46="Media",'Mapa final'!$L$46="Menor"),CONCATENATE("R",'Mapa final'!$A$46),"")</f>
        <v/>
      </c>
      <c r="U26" s="306"/>
      <c r="V26" s="304" t="str">
        <f ca="1">IF(AND('Mapa final'!$H$34="Media",'Mapa final'!$L$34="Moderado"),CONCATENATE("R",'Mapa final'!$A$34),"")</f>
        <v/>
      </c>
      <c r="W26" s="305"/>
      <c r="X26" s="305" t="str">
        <f ca="1">IF(AND('Mapa final'!$H$40="Media",'Mapa final'!$L$40="Moderado"),CONCATENATE("R",'Mapa final'!$A$40),"")</f>
        <v/>
      </c>
      <c r="Y26" s="305"/>
      <c r="Z26" s="305" t="str">
        <f ca="1">IF(AND('Mapa final'!$H$46="Media",'Mapa final'!$L$46="Moderado"),CONCATENATE("R",'Mapa final'!$A$46),"")</f>
        <v/>
      </c>
      <c r="AA26" s="306"/>
      <c r="AB26" s="288" t="str">
        <f ca="1">IF(AND('Mapa final'!$H$34="Media",'Mapa final'!$L$34="Mayor"),CONCATENATE("R",'Mapa final'!$A$34),"")</f>
        <v>R5</v>
      </c>
      <c r="AC26" s="284"/>
      <c r="AD26" s="284" t="str">
        <f ca="1">IF(AND('Mapa final'!$H$40="Media",'Mapa final'!$L$40="Mayor"),CONCATENATE("R",'Mapa final'!$A$40),"")</f>
        <v>R6</v>
      </c>
      <c r="AE26" s="284"/>
      <c r="AF26" s="284" t="str">
        <f ca="1">IF(AND('Mapa final'!$H$46="Media",'Mapa final'!$L$46="Mayor"),CONCATENATE("R",'Mapa final'!$A$46),"")</f>
        <v/>
      </c>
      <c r="AG26" s="285"/>
      <c r="AH26" s="295" t="str">
        <f ca="1">IF(AND('Mapa final'!$H$34="Media",'Mapa final'!$L$34="Catastrófico"),CONCATENATE("R",'Mapa final'!$A$34),"")</f>
        <v/>
      </c>
      <c r="AI26" s="296"/>
      <c r="AJ26" s="296" t="str">
        <f ca="1">IF(AND('Mapa final'!$H$40="Media",'Mapa final'!$L$40="Catastrófico"),CONCATENATE("R",'Mapa final'!$A$40),"")</f>
        <v/>
      </c>
      <c r="AK26" s="296"/>
      <c r="AL26" s="296" t="str">
        <f ca="1">IF(AND('Mapa final'!$H$46="Media",'Mapa final'!$L$46="Catastrófico"),CONCATENATE("R",'Mapa final'!$A$46),"")</f>
        <v/>
      </c>
      <c r="AM26" s="297"/>
      <c r="AN26" s="74"/>
      <c r="AO26" s="260"/>
      <c r="AP26" s="261"/>
      <c r="AQ26" s="261"/>
      <c r="AR26" s="261"/>
      <c r="AS26" s="261"/>
      <c r="AT26" s="262"/>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row>
    <row r="27" spans="1:80" x14ac:dyDescent="0.25">
      <c r="A27" s="74"/>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74"/>
      <c r="AO27" s="260"/>
      <c r="AP27" s="261"/>
      <c r="AQ27" s="261"/>
      <c r="AR27" s="261"/>
      <c r="AS27" s="261"/>
      <c r="AT27" s="262"/>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row>
    <row r="28" spans="1:80" x14ac:dyDescent="0.25">
      <c r="A28" s="74"/>
      <c r="B28" s="237"/>
      <c r="C28" s="237"/>
      <c r="D28" s="238"/>
      <c r="E28" s="278"/>
      <c r="F28" s="279"/>
      <c r="G28" s="279"/>
      <c r="H28" s="279"/>
      <c r="I28" s="280"/>
      <c r="J28" s="304" t="str">
        <f ca="1">IF(AND('Mapa final'!$H$52="Media",'Mapa final'!$L$52="Leve"),CONCATENATE("R",'Mapa final'!$A$52),"")</f>
        <v/>
      </c>
      <c r="K28" s="305"/>
      <c r="L28" s="305" t="str">
        <f>IF(AND('Mapa final'!$H$58="Media",'Mapa final'!$L$58="Leve"),CONCATENATE("R",'Mapa final'!$A$58),"")</f>
        <v/>
      </c>
      <c r="M28" s="305"/>
      <c r="N28" s="305" t="str">
        <f>IF(AND('Mapa final'!$H$64="Media",'Mapa final'!$L$64="Leve"),CONCATENATE("R",'Mapa final'!$A$64),"")</f>
        <v/>
      </c>
      <c r="O28" s="306"/>
      <c r="P28" s="304" t="str">
        <f ca="1">IF(AND('Mapa final'!$H$52="Media",'Mapa final'!$L$52="Menor"),CONCATENATE("R",'Mapa final'!$A$52),"")</f>
        <v/>
      </c>
      <c r="Q28" s="305"/>
      <c r="R28" s="305" t="str">
        <f>IF(AND('Mapa final'!$H$58="Media",'Mapa final'!$L$58="Menor"),CONCATENATE("R",'Mapa final'!$A$58),"")</f>
        <v/>
      </c>
      <c r="S28" s="305"/>
      <c r="T28" s="305" t="str">
        <f>IF(AND('Mapa final'!$H$64="Media",'Mapa final'!$L$64="Menor"),CONCATENATE("R",'Mapa final'!$A$64),"")</f>
        <v/>
      </c>
      <c r="U28" s="306"/>
      <c r="V28" s="304" t="str">
        <f ca="1">IF(AND('Mapa final'!$H$52="Media",'Mapa final'!$L$52="Moderado"),CONCATENATE("R",'Mapa final'!$A$52),"")</f>
        <v/>
      </c>
      <c r="W28" s="305"/>
      <c r="X28" s="305" t="str">
        <f>IF(AND('Mapa final'!$H$58="Media",'Mapa final'!$L$58="Moderado"),CONCATENATE("R",'Mapa final'!$A$58),"")</f>
        <v/>
      </c>
      <c r="Y28" s="305"/>
      <c r="Z28" s="305" t="str">
        <f>IF(AND('Mapa final'!$H$64="Media",'Mapa final'!$L$64="Moderado"),CONCATENATE("R",'Mapa final'!$A$64),"")</f>
        <v/>
      </c>
      <c r="AA28" s="306"/>
      <c r="AB28" s="288" t="str">
        <f ca="1">IF(AND('Mapa final'!$H$52="Media",'Mapa final'!$L$52="Mayor"),CONCATENATE("R",'Mapa final'!$A$52),"")</f>
        <v/>
      </c>
      <c r="AC28" s="284"/>
      <c r="AD28" s="284" t="str">
        <f>IF(AND('Mapa final'!$H$58="Media",'Mapa final'!$L$58="Mayor"),CONCATENATE("R",'Mapa final'!$A$58),"")</f>
        <v/>
      </c>
      <c r="AE28" s="284"/>
      <c r="AF28" s="284" t="str">
        <f>IF(AND('Mapa final'!$H$64="Media",'Mapa final'!$L$64="Mayor"),CONCATENATE("R",'Mapa final'!$A$64),"")</f>
        <v/>
      </c>
      <c r="AG28" s="285"/>
      <c r="AH28" s="295" t="str">
        <f ca="1">IF(AND('Mapa final'!$H$52="Media",'Mapa final'!$L$52="Catastrófico"),CONCATENATE("R",'Mapa final'!$A$52),"")</f>
        <v/>
      </c>
      <c r="AI28" s="296"/>
      <c r="AJ28" s="296" t="str">
        <f>IF(AND('Mapa final'!$H$58="Media",'Mapa final'!$L$58="Catastrófico"),CONCATENATE("R",'Mapa final'!$A$58),"")</f>
        <v/>
      </c>
      <c r="AK28" s="296"/>
      <c r="AL28" s="296" t="str">
        <f>IF(AND('Mapa final'!$H$64="Media",'Mapa final'!$L$64="Catastrófico"),CONCATENATE("R",'Mapa final'!$A$64),"")</f>
        <v/>
      </c>
      <c r="AM28" s="297"/>
      <c r="AN28" s="74"/>
      <c r="AO28" s="260"/>
      <c r="AP28" s="261"/>
      <c r="AQ28" s="261"/>
      <c r="AR28" s="261"/>
      <c r="AS28" s="261"/>
      <c r="AT28" s="262"/>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row>
    <row r="29" spans="1:80" ht="15.75" thickBot="1" x14ac:dyDescent="0.3">
      <c r="A29" s="74"/>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74"/>
      <c r="AO29" s="263"/>
      <c r="AP29" s="264"/>
      <c r="AQ29" s="264"/>
      <c r="AR29" s="264"/>
      <c r="AS29" s="264"/>
      <c r="AT29" s="265"/>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row>
    <row r="30" spans="1:80" x14ac:dyDescent="0.25">
      <c r="A30" s="74"/>
      <c r="B30" s="237"/>
      <c r="C30" s="237"/>
      <c r="D30" s="238"/>
      <c r="E30" s="275" t="s">
        <v>112</v>
      </c>
      <c r="F30" s="276"/>
      <c r="G30" s="276"/>
      <c r="H30" s="276"/>
      <c r="I30" s="276"/>
      <c r="J30" s="319" t="e">
        <f>IF(AND('Mapa final'!#REF!="Baja",'Mapa final'!#REF!="Leve"),CONCATENATE("R",'Mapa final'!#REF!),"")</f>
        <v>#REF!</v>
      </c>
      <c r="K30" s="320"/>
      <c r="L30" s="320" t="e">
        <f>IF(AND('Mapa final'!#REF!="Baja",'Mapa final'!#REF!="Leve"),CONCATENATE("R",'Mapa final'!#REF!),"")</f>
        <v>#REF!</v>
      </c>
      <c r="M30" s="320"/>
      <c r="N30" s="320" t="str">
        <f ca="1">IF(AND('Mapa final'!$H$10="Baja",'Mapa final'!$L$10="Leve"),CONCATENATE("R",'Mapa final'!$A$10),"")</f>
        <v/>
      </c>
      <c r="O30" s="321"/>
      <c r="P30" s="311" t="e">
        <f>IF(AND('Mapa final'!#REF!="Baja",'Mapa final'!#REF!="Menor"),CONCATENATE("R",'Mapa final'!#REF!),"")</f>
        <v>#REF!</v>
      </c>
      <c r="Q30" s="311"/>
      <c r="R30" s="311" t="e">
        <f>IF(AND('Mapa final'!#REF!="Baja",'Mapa final'!#REF!="Menor"),CONCATENATE("R",'Mapa final'!#REF!),"")</f>
        <v>#REF!</v>
      </c>
      <c r="S30" s="311"/>
      <c r="T30" s="311" t="str">
        <f ca="1">IF(AND('Mapa final'!$H$10="Baja",'Mapa final'!$L$10="Menor"),CONCATENATE("R",'Mapa final'!$A$10),"")</f>
        <v/>
      </c>
      <c r="U30" s="312"/>
      <c r="V30" s="310" t="e">
        <f>IF(AND('Mapa final'!#REF!="Baja",'Mapa final'!#REF!="Moderado"),CONCATENATE("R",'Mapa final'!#REF!),"")</f>
        <v>#REF!</v>
      </c>
      <c r="W30" s="311"/>
      <c r="X30" s="311" t="e">
        <f>IF(AND('Mapa final'!#REF!="Baja",'Mapa final'!#REF!="Moderado"),CONCATENATE("R",'Mapa final'!#REF!),"")</f>
        <v>#REF!</v>
      </c>
      <c r="Y30" s="311"/>
      <c r="Z30" s="311" t="str">
        <f ca="1">IF(AND('Mapa final'!$H$10="Baja",'Mapa final'!$L$10="Moderado"),CONCATENATE("R",'Mapa final'!$A$10),"")</f>
        <v/>
      </c>
      <c r="AA30" s="312"/>
      <c r="AB30" s="286" t="e">
        <f>IF(AND('Mapa final'!#REF!="Baja",'Mapa final'!#REF!="Mayor"),CONCATENATE("R",'Mapa final'!#REF!),"")</f>
        <v>#REF!</v>
      </c>
      <c r="AC30" s="287"/>
      <c r="AD30" s="287" t="e">
        <f>IF(AND('Mapa final'!#REF!="Baja",'Mapa final'!#REF!="Mayor"),CONCATENATE("R",'Mapa final'!#REF!),"")</f>
        <v>#REF!</v>
      </c>
      <c r="AE30" s="287"/>
      <c r="AF30" s="287" t="str">
        <f ca="1">IF(AND('Mapa final'!$H$10="Baja",'Mapa final'!$L$10="Mayor"),CONCATENATE("R",'Mapa final'!$A$10),"")</f>
        <v/>
      </c>
      <c r="AG30" s="289"/>
      <c r="AH30" s="301" t="e">
        <f>IF(AND('Mapa final'!#REF!="Baja",'Mapa final'!#REF!="Catastrófico"),CONCATENATE("R",'Mapa final'!#REF!),"")</f>
        <v>#REF!</v>
      </c>
      <c r="AI30" s="302"/>
      <c r="AJ30" s="302" t="e">
        <f>IF(AND('Mapa final'!#REF!="Baja",'Mapa final'!#REF!="Catastrófico"),CONCATENATE("R",'Mapa final'!#REF!),"")</f>
        <v>#REF!</v>
      </c>
      <c r="AK30" s="302"/>
      <c r="AL30" s="302" t="str">
        <f ca="1">IF(AND('Mapa final'!$H$10="Baja",'Mapa final'!$L$10="Catastrófico"),CONCATENATE("R",'Mapa final'!$A$10),"")</f>
        <v/>
      </c>
      <c r="AM30" s="303"/>
      <c r="AN30" s="74"/>
      <c r="AO30" s="266" t="s">
        <v>82</v>
      </c>
      <c r="AP30" s="267"/>
      <c r="AQ30" s="267"/>
      <c r="AR30" s="267"/>
      <c r="AS30" s="267"/>
      <c r="AT30" s="268"/>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row>
    <row r="31" spans="1:80" x14ac:dyDescent="0.25">
      <c r="A31" s="74"/>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74"/>
      <c r="AO31" s="269"/>
      <c r="AP31" s="270"/>
      <c r="AQ31" s="270"/>
      <c r="AR31" s="270"/>
      <c r="AS31" s="270"/>
      <c r="AT31" s="271"/>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row>
    <row r="32" spans="1:80" x14ac:dyDescent="0.25">
      <c r="A32" s="74"/>
      <c r="B32" s="237"/>
      <c r="C32" s="237"/>
      <c r="D32" s="238"/>
      <c r="E32" s="278"/>
      <c r="F32" s="279"/>
      <c r="G32" s="279"/>
      <c r="H32" s="279"/>
      <c r="I32" s="279"/>
      <c r="J32" s="315" t="str">
        <f ca="1">IF(AND('Mapa final'!$H$16="Baja",'Mapa final'!$L$16="Leve"),CONCATENATE("R",'Mapa final'!$A$16),"")</f>
        <v/>
      </c>
      <c r="K32" s="313"/>
      <c r="L32" s="313" t="str">
        <f ca="1">IF(AND('Mapa final'!$H$22="Baja",'Mapa final'!$L$22="Leve"),CONCATENATE("R",'Mapa final'!$A$22),"")</f>
        <v/>
      </c>
      <c r="M32" s="313"/>
      <c r="N32" s="313" t="str">
        <f ca="1">IF(AND('Mapa final'!$H$28="Baja",'Mapa final'!$L$28="Leve"),CONCATENATE("R",'Mapa final'!$A$28),"")</f>
        <v/>
      </c>
      <c r="O32" s="314"/>
      <c r="P32" s="305" t="str">
        <f ca="1">IF(AND('Mapa final'!$H$16="Baja",'Mapa final'!$L$16="Menor"),CONCATENATE("R",'Mapa final'!$A$16),"")</f>
        <v/>
      </c>
      <c r="Q32" s="305"/>
      <c r="R32" s="305" t="str">
        <f ca="1">IF(AND('Mapa final'!$H$22="Baja",'Mapa final'!$L$22="Menor"),CONCATENATE("R",'Mapa final'!$A$22),"")</f>
        <v/>
      </c>
      <c r="S32" s="305"/>
      <c r="T32" s="305" t="str">
        <f ca="1">IF(AND('Mapa final'!$H$28="Baja",'Mapa final'!$L$28="Menor"),CONCATENATE("R",'Mapa final'!$A$28),"")</f>
        <v/>
      </c>
      <c r="U32" s="306"/>
      <c r="V32" s="304" t="str">
        <f ca="1">IF(AND('Mapa final'!$H$16="Baja",'Mapa final'!$L$16="Moderado"),CONCATENATE("R",'Mapa final'!$A$16),"")</f>
        <v/>
      </c>
      <c r="W32" s="305"/>
      <c r="X32" s="305" t="str">
        <f ca="1">IF(AND('Mapa final'!$H$22="Baja",'Mapa final'!$L$22="Moderado"),CONCATENATE("R",'Mapa final'!$A$22),"")</f>
        <v/>
      </c>
      <c r="Y32" s="305"/>
      <c r="Z32" s="305" t="str">
        <f ca="1">IF(AND('Mapa final'!$H$28="Baja",'Mapa final'!$L$28="Moderado"),CONCATENATE("R",'Mapa final'!$A$28),"")</f>
        <v/>
      </c>
      <c r="AA32" s="306"/>
      <c r="AB32" s="288" t="str">
        <f ca="1">IF(AND('Mapa final'!$H$16="Baja",'Mapa final'!$L$16="Mayor"),CONCATENATE("R",'Mapa final'!$A$16),"")</f>
        <v/>
      </c>
      <c r="AC32" s="284"/>
      <c r="AD32" s="284" t="str">
        <f ca="1">IF(AND('Mapa final'!$H$22="Baja",'Mapa final'!$L$22="Mayor"),CONCATENATE("R",'Mapa final'!$A$22),"")</f>
        <v/>
      </c>
      <c r="AE32" s="284"/>
      <c r="AF32" s="284" t="str">
        <f ca="1">IF(AND('Mapa final'!$H$28="Baja",'Mapa final'!$L$28="Mayor"),CONCATENATE("R",'Mapa final'!$A$28),"")</f>
        <v/>
      </c>
      <c r="AG32" s="285"/>
      <c r="AH32" s="295" t="str">
        <f ca="1">IF(AND('Mapa final'!$H$16="Baja",'Mapa final'!$L$16="Catastrófico"),CONCATENATE("R",'Mapa final'!$A$16),"")</f>
        <v/>
      </c>
      <c r="AI32" s="296"/>
      <c r="AJ32" s="296" t="str">
        <f ca="1">IF(AND('Mapa final'!$H$22="Baja",'Mapa final'!$L$22="Catastrófico"),CONCATENATE("R",'Mapa final'!$A$22),"")</f>
        <v/>
      </c>
      <c r="AK32" s="296"/>
      <c r="AL32" s="296" t="str">
        <f ca="1">IF(AND('Mapa final'!$H$28="Baja",'Mapa final'!$L$28="Catastrófico"),CONCATENATE("R",'Mapa final'!$A$28),"")</f>
        <v/>
      </c>
      <c r="AM32" s="297"/>
      <c r="AN32" s="74"/>
      <c r="AO32" s="269"/>
      <c r="AP32" s="270"/>
      <c r="AQ32" s="270"/>
      <c r="AR32" s="270"/>
      <c r="AS32" s="270"/>
      <c r="AT32" s="271"/>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row>
    <row r="33" spans="1:80" x14ac:dyDescent="0.25">
      <c r="A33" s="74"/>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74"/>
      <c r="AO33" s="269"/>
      <c r="AP33" s="270"/>
      <c r="AQ33" s="270"/>
      <c r="AR33" s="270"/>
      <c r="AS33" s="270"/>
      <c r="AT33" s="271"/>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row>
    <row r="34" spans="1:80" x14ac:dyDescent="0.25">
      <c r="A34" s="74"/>
      <c r="B34" s="237"/>
      <c r="C34" s="237"/>
      <c r="D34" s="238"/>
      <c r="E34" s="278"/>
      <c r="F34" s="279"/>
      <c r="G34" s="279"/>
      <c r="H34" s="279"/>
      <c r="I34" s="279"/>
      <c r="J34" s="315" t="str">
        <f ca="1">IF(AND('Mapa final'!$H$34="Baja",'Mapa final'!$L$34="Leve"),CONCATENATE("R",'Mapa final'!$A$34),"")</f>
        <v/>
      </c>
      <c r="K34" s="313"/>
      <c r="L34" s="313" t="str">
        <f ca="1">IF(AND('Mapa final'!$H$40="Baja",'Mapa final'!$L$40="Leve"),CONCATENATE("R",'Mapa final'!$A$40),"")</f>
        <v/>
      </c>
      <c r="M34" s="313"/>
      <c r="N34" s="313" t="str">
        <f ca="1">IF(AND('Mapa final'!$H$46="Baja",'Mapa final'!$L$46="Leve"),CONCATENATE("R",'Mapa final'!$A$46),"")</f>
        <v/>
      </c>
      <c r="O34" s="314"/>
      <c r="P34" s="305" t="str">
        <f ca="1">IF(AND('Mapa final'!$H$34="Baja",'Mapa final'!$L$34="Menor"),CONCATENATE("R",'Mapa final'!$A$34),"")</f>
        <v/>
      </c>
      <c r="Q34" s="305"/>
      <c r="R34" s="305" t="str">
        <f ca="1">IF(AND('Mapa final'!$H$40="Baja",'Mapa final'!$L$40="Menor"),CONCATENATE("R",'Mapa final'!$A$40),"")</f>
        <v/>
      </c>
      <c r="S34" s="305"/>
      <c r="T34" s="305" t="str">
        <f ca="1">IF(AND('Mapa final'!$H$46="Baja",'Mapa final'!$L$46="Menor"),CONCATENATE("R",'Mapa final'!$A$46),"")</f>
        <v/>
      </c>
      <c r="U34" s="306"/>
      <c r="V34" s="304" t="str">
        <f ca="1">IF(AND('Mapa final'!$H$34="Baja",'Mapa final'!$L$34="Moderado"),CONCATENATE("R",'Mapa final'!$A$34),"")</f>
        <v/>
      </c>
      <c r="W34" s="305"/>
      <c r="X34" s="305" t="str">
        <f ca="1">IF(AND('Mapa final'!$H$40="Baja",'Mapa final'!$L$40="Moderado"),CONCATENATE("R",'Mapa final'!$A$40),"")</f>
        <v/>
      </c>
      <c r="Y34" s="305"/>
      <c r="Z34" s="305" t="str">
        <f ca="1">IF(AND('Mapa final'!$H$46="Baja",'Mapa final'!$L$46="Moderado"),CONCATENATE("R",'Mapa final'!$A$46),"")</f>
        <v/>
      </c>
      <c r="AA34" s="306"/>
      <c r="AB34" s="288" t="str">
        <f ca="1">IF(AND('Mapa final'!$H$34="Baja",'Mapa final'!$L$34="Mayor"),CONCATENATE("R",'Mapa final'!$A$34),"")</f>
        <v/>
      </c>
      <c r="AC34" s="284"/>
      <c r="AD34" s="284" t="str">
        <f ca="1">IF(AND('Mapa final'!$H$40="Baja",'Mapa final'!$L$40="Mayor"),CONCATENATE("R",'Mapa final'!$A$40),"")</f>
        <v/>
      </c>
      <c r="AE34" s="284"/>
      <c r="AF34" s="284" t="str">
        <f ca="1">IF(AND('Mapa final'!$H$46="Baja",'Mapa final'!$L$46="Mayor"),CONCATENATE("R",'Mapa final'!$A$46),"")</f>
        <v/>
      </c>
      <c r="AG34" s="285"/>
      <c r="AH34" s="295" t="str">
        <f ca="1">IF(AND('Mapa final'!$H$34="Baja",'Mapa final'!$L$34="Catastrófico"),CONCATENATE("R",'Mapa final'!$A$34),"")</f>
        <v/>
      </c>
      <c r="AI34" s="296"/>
      <c r="AJ34" s="296" t="str">
        <f ca="1">IF(AND('Mapa final'!$H$40="Baja",'Mapa final'!$L$40="Catastrófico"),CONCATENATE("R",'Mapa final'!$A$40),"")</f>
        <v/>
      </c>
      <c r="AK34" s="296"/>
      <c r="AL34" s="296" t="str">
        <f ca="1">IF(AND('Mapa final'!$H$46="Baja",'Mapa final'!$L$46="Catastrófico"),CONCATENATE("R",'Mapa final'!$A$46),"")</f>
        <v/>
      </c>
      <c r="AM34" s="297"/>
      <c r="AN34" s="74"/>
      <c r="AO34" s="269"/>
      <c r="AP34" s="270"/>
      <c r="AQ34" s="270"/>
      <c r="AR34" s="270"/>
      <c r="AS34" s="270"/>
      <c r="AT34" s="271"/>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row>
    <row r="35" spans="1:80" x14ac:dyDescent="0.25">
      <c r="A35" s="74"/>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74"/>
      <c r="AO35" s="269"/>
      <c r="AP35" s="270"/>
      <c r="AQ35" s="270"/>
      <c r="AR35" s="270"/>
      <c r="AS35" s="270"/>
      <c r="AT35" s="271"/>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row>
    <row r="36" spans="1:80" x14ac:dyDescent="0.25">
      <c r="A36" s="74"/>
      <c r="B36" s="237"/>
      <c r="C36" s="237"/>
      <c r="D36" s="238"/>
      <c r="E36" s="278"/>
      <c r="F36" s="279"/>
      <c r="G36" s="279"/>
      <c r="H36" s="279"/>
      <c r="I36" s="279"/>
      <c r="J36" s="315" t="str">
        <f ca="1">IF(AND('Mapa final'!$H$52="Baja",'Mapa final'!$L$52="Leve"),CONCATENATE("R",'Mapa final'!$A$52),"")</f>
        <v/>
      </c>
      <c r="K36" s="313"/>
      <c r="L36" s="313" t="str">
        <f>IF(AND('Mapa final'!$H$58="Baja",'Mapa final'!$L$58="Leve"),CONCATENATE("R",'Mapa final'!$A$58),"")</f>
        <v/>
      </c>
      <c r="M36" s="313"/>
      <c r="N36" s="313" t="str">
        <f>IF(AND('Mapa final'!$H$64="Baja",'Mapa final'!$L$64="Leve"),CONCATENATE("R",'Mapa final'!$A$64),"")</f>
        <v/>
      </c>
      <c r="O36" s="314"/>
      <c r="P36" s="305" t="str">
        <f ca="1">IF(AND('Mapa final'!$H$52="Baja",'Mapa final'!$L$52="Menor"),CONCATENATE("R",'Mapa final'!$A$52),"")</f>
        <v/>
      </c>
      <c r="Q36" s="305"/>
      <c r="R36" s="305" t="str">
        <f>IF(AND('Mapa final'!$H$58="Baja",'Mapa final'!$L$58="Menor"),CONCATENATE("R",'Mapa final'!$A$58),"")</f>
        <v/>
      </c>
      <c r="S36" s="305"/>
      <c r="T36" s="305" t="str">
        <f>IF(AND('Mapa final'!$H$64="Baja",'Mapa final'!$L$64="Menor"),CONCATENATE("R",'Mapa final'!$A$64),"")</f>
        <v/>
      </c>
      <c r="U36" s="306"/>
      <c r="V36" s="304" t="str">
        <f ca="1">IF(AND('Mapa final'!$H$52="Baja",'Mapa final'!$L$52="Moderado"),CONCATENATE("R",'Mapa final'!$A$52),"")</f>
        <v/>
      </c>
      <c r="W36" s="305"/>
      <c r="X36" s="305" t="str">
        <f>IF(AND('Mapa final'!$H$58="Baja",'Mapa final'!$L$58="Moderado"),CONCATENATE("R",'Mapa final'!$A$58),"")</f>
        <v/>
      </c>
      <c r="Y36" s="305"/>
      <c r="Z36" s="305" t="str">
        <f>IF(AND('Mapa final'!$H$64="Baja",'Mapa final'!$L$64="Moderado"),CONCATENATE("R",'Mapa final'!$A$64),"")</f>
        <v/>
      </c>
      <c r="AA36" s="306"/>
      <c r="AB36" s="288" t="str">
        <f ca="1">IF(AND('Mapa final'!$H$52="Baja",'Mapa final'!$L$52="Mayor"),CONCATENATE("R",'Mapa final'!$A$52),"")</f>
        <v/>
      </c>
      <c r="AC36" s="284"/>
      <c r="AD36" s="284" t="str">
        <f>IF(AND('Mapa final'!$H$58="Baja",'Mapa final'!$L$58="Mayor"),CONCATENATE("R",'Mapa final'!$A$58),"")</f>
        <v/>
      </c>
      <c r="AE36" s="284"/>
      <c r="AF36" s="284" t="str">
        <f>IF(AND('Mapa final'!$H$64="Baja",'Mapa final'!$L$64="Mayor"),CONCATENATE("R",'Mapa final'!$A$64),"")</f>
        <v/>
      </c>
      <c r="AG36" s="285"/>
      <c r="AH36" s="295" t="str">
        <f ca="1">IF(AND('Mapa final'!$H$52="Baja",'Mapa final'!$L$52="Catastrófico"),CONCATENATE("R",'Mapa final'!$A$52),"")</f>
        <v/>
      </c>
      <c r="AI36" s="296"/>
      <c r="AJ36" s="296" t="str">
        <f>IF(AND('Mapa final'!$H$58="Baja",'Mapa final'!$L$58="Catastrófico"),CONCATENATE("R",'Mapa final'!$A$58),"")</f>
        <v/>
      </c>
      <c r="AK36" s="296"/>
      <c r="AL36" s="296" t="str">
        <f>IF(AND('Mapa final'!$H$64="Baja",'Mapa final'!$L$64="Catastrófico"),CONCATENATE("R",'Mapa final'!$A$64),"")</f>
        <v/>
      </c>
      <c r="AM36" s="297"/>
      <c r="AN36" s="74"/>
      <c r="AO36" s="269"/>
      <c r="AP36" s="270"/>
      <c r="AQ36" s="270"/>
      <c r="AR36" s="270"/>
      <c r="AS36" s="270"/>
      <c r="AT36" s="271"/>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row>
    <row r="37" spans="1:80" ht="15.75" thickBot="1" x14ac:dyDescent="0.3">
      <c r="A37" s="74"/>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74"/>
      <c r="AO37" s="272"/>
      <c r="AP37" s="273"/>
      <c r="AQ37" s="273"/>
      <c r="AR37" s="273"/>
      <c r="AS37" s="273"/>
      <c r="AT37" s="2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row>
    <row r="38" spans="1:80" x14ac:dyDescent="0.25">
      <c r="A38" s="74"/>
      <c r="B38" s="237"/>
      <c r="C38" s="237"/>
      <c r="D38" s="238"/>
      <c r="E38" s="275" t="s">
        <v>111</v>
      </c>
      <c r="F38" s="276"/>
      <c r="G38" s="276"/>
      <c r="H38" s="276"/>
      <c r="I38" s="277"/>
      <c r="J38" s="319" t="e">
        <f>IF(AND('Mapa final'!#REF!="Muy Baja",'Mapa final'!#REF!="Leve"),CONCATENATE("R",'Mapa final'!#REF!),"")</f>
        <v>#REF!</v>
      </c>
      <c r="K38" s="320"/>
      <c r="L38" s="320" t="e">
        <f>IF(AND('Mapa final'!#REF!="Muy Baja",'Mapa final'!#REF!="Leve"),CONCATENATE("R",'Mapa final'!#REF!),"")</f>
        <v>#REF!</v>
      </c>
      <c r="M38" s="320"/>
      <c r="N38" s="320" t="str">
        <f ca="1">IF(AND('Mapa final'!$H$10="Muy Baja",'Mapa final'!$L$10="Leve"),CONCATENATE("R",'Mapa final'!$A$10),"")</f>
        <v/>
      </c>
      <c r="O38" s="321"/>
      <c r="P38" s="319" t="e">
        <f>IF(AND('Mapa final'!#REF!="Muy Baja",'Mapa final'!#REF!="Menor"),CONCATENATE("R",'Mapa final'!#REF!),"")</f>
        <v>#REF!</v>
      </c>
      <c r="Q38" s="320"/>
      <c r="R38" s="320" t="e">
        <f>IF(AND('Mapa final'!#REF!="Muy Baja",'Mapa final'!#REF!="Menor"),CONCATENATE("R",'Mapa final'!#REF!),"")</f>
        <v>#REF!</v>
      </c>
      <c r="S38" s="320"/>
      <c r="T38" s="320" t="str">
        <f ca="1">IF(AND('Mapa final'!$H$10="Muy Baja",'Mapa final'!$L$10="Menor"),CONCATENATE("R",'Mapa final'!$A$10),"")</f>
        <v/>
      </c>
      <c r="U38" s="321"/>
      <c r="V38" s="310" t="e">
        <f>IF(AND('Mapa final'!#REF!="Muy Baja",'Mapa final'!#REF!="Moderado"),CONCATENATE("R",'Mapa final'!#REF!),"")</f>
        <v>#REF!</v>
      </c>
      <c r="W38" s="311"/>
      <c r="X38" s="311" t="e">
        <f>IF(AND('Mapa final'!#REF!="Muy Baja",'Mapa final'!#REF!="Moderado"),CONCATENATE("R",'Mapa final'!#REF!),"")</f>
        <v>#REF!</v>
      </c>
      <c r="Y38" s="311"/>
      <c r="Z38" s="311" t="str">
        <f ca="1">IF(AND('Mapa final'!$H$10="Muy Baja",'Mapa final'!$L$10="Moderado"),CONCATENATE("R",'Mapa final'!$A$10),"")</f>
        <v/>
      </c>
      <c r="AA38" s="312"/>
      <c r="AB38" s="286" t="e">
        <f>IF(AND('Mapa final'!#REF!="Muy Baja",'Mapa final'!#REF!="Mayor"),CONCATENATE("R",'Mapa final'!#REF!),"")</f>
        <v>#REF!</v>
      </c>
      <c r="AC38" s="287"/>
      <c r="AD38" s="287" t="e">
        <f>IF(AND('Mapa final'!#REF!="Muy Baja",'Mapa final'!#REF!="Mayor"),CONCATENATE("R",'Mapa final'!#REF!),"")</f>
        <v>#REF!</v>
      </c>
      <c r="AE38" s="287"/>
      <c r="AF38" s="287" t="str">
        <f ca="1">IF(AND('Mapa final'!$H$10="Muy Baja",'Mapa final'!$L$10="Mayor"),CONCATENATE("R",'Mapa final'!$A$10),"")</f>
        <v/>
      </c>
      <c r="AG38" s="289"/>
      <c r="AH38" s="301" t="e">
        <f>IF(AND('Mapa final'!#REF!="Muy Baja",'Mapa final'!#REF!="Catastrófico"),CONCATENATE("R",'Mapa final'!#REF!),"")</f>
        <v>#REF!</v>
      </c>
      <c r="AI38" s="302"/>
      <c r="AJ38" s="302" t="e">
        <f>IF(AND('Mapa final'!#REF!="Muy Baja",'Mapa final'!#REF!="Catastrófico"),CONCATENATE("R",'Mapa final'!#REF!),"")</f>
        <v>#REF!</v>
      </c>
      <c r="AK38" s="302"/>
      <c r="AL38" s="302" t="str">
        <f ca="1">IF(AND('Mapa final'!$H$10="Muy Baja",'Mapa final'!$L$10="Catastrófico"),CONCATENATE("R",'Mapa final'!$A$10),"")</f>
        <v/>
      </c>
      <c r="AM38" s="303"/>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row>
    <row r="39" spans="1:80" x14ac:dyDescent="0.25">
      <c r="A39" s="74"/>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row>
    <row r="40" spans="1:80" x14ac:dyDescent="0.25">
      <c r="A40" s="74"/>
      <c r="B40" s="237"/>
      <c r="C40" s="237"/>
      <c r="D40" s="238"/>
      <c r="E40" s="278"/>
      <c r="F40" s="279"/>
      <c r="G40" s="279"/>
      <c r="H40" s="279"/>
      <c r="I40" s="280"/>
      <c r="J40" s="315" t="str">
        <f ca="1">IF(AND('Mapa final'!$H$16="Muy Baja",'Mapa final'!$L$16="Leve"),CONCATENATE("R",'Mapa final'!$A$16),"")</f>
        <v/>
      </c>
      <c r="K40" s="313"/>
      <c r="L40" s="313" t="str">
        <f ca="1">IF(AND('Mapa final'!$H$22="Muy Baja",'Mapa final'!$L$22="Leve"),CONCATENATE("R",'Mapa final'!$A$22),"")</f>
        <v/>
      </c>
      <c r="M40" s="313"/>
      <c r="N40" s="313" t="str">
        <f ca="1">IF(AND('Mapa final'!$H$28="Muy Baja",'Mapa final'!$L$28="Leve"),CONCATENATE("R",'Mapa final'!$A$28),"")</f>
        <v/>
      </c>
      <c r="O40" s="314"/>
      <c r="P40" s="315" t="str">
        <f ca="1">IF(AND('Mapa final'!$H$16="Muy Baja",'Mapa final'!$L$16="Menor"),CONCATENATE("R",'Mapa final'!$A$16),"")</f>
        <v/>
      </c>
      <c r="Q40" s="313"/>
      <c r="R40" s="313" t="str">
        <f ca="1">IF(AND('Mapa final'!$H$22="Muy Baja",'Mapa final'!$L$22="Menor"),CONCATENATE("R",'Mapa final'!$A$22),"")</f>
        <v/>
      </c>
      <c r="S40" s="313"/>
      <c r="T40" s="313" t="str">
        <f ca="1">IF(AND('Mapa final'!$H$28="Muy Baja",'Mapa final'!$L$28="Menor"),CONCATENATE("R",'Mapa final'!$A$28),"")</f>
        <v/>
      </c>
      <c r="U40" s="314"/>
      <c r="V40" s="304" t="str">
        <f ca="1">IF(AND('Mapa final'!$H$16="Muy Baja",'Mapa final'!$L$16="Moderado"),CONCATENATE("R",'Mapa final'!$A$16),"")</f>
        <v/>
      </c>
      <c r="W40" s="305"/>
      <c r="X40" s="305" t="str">
        <f ca="1">IF(AND('Mapa final'!$H$22="Muy Baja",'Mapa final'!$L$22="Moderado"),CONCATENATE("R",'Mapa final'!$A$22),"")</f>
        <v/>
      </c>
      <c r="Y40" s="305"/>
      <c r="Z40" s="305" t="str">
        <f ca="1">IF(AND('Mapa final'!$H$28="Muy Baja",'Mapa final'!$L$28="Moderado"),CONCATENATE("R",'Mapa final'!$A$28),"")</f>
        <v/>
      </c>
      <c r="AA40" s="306"/>
      <c r="AB40" s="288" t="str">
        <f ca="1">IF(AND('Mapa final'!$H$16="Muy Baja",'Mapa final'!$L$16="Mayor"),CONCATENATE("R",'Mapa final'!$A$16),"")</f>
        <v/>
      </c>
      <c r="AC40" s="284"/>
      <c r="AD40" s="284" t="str">
        <f ca="1">IF(AND('Mapa final'!$H$22="Muy Baja",'Mapa final'!$L$22="Mayor"),CONCATENATE("R",'Mapa final'!$A$22),"")</f>
        <v/>
      </c>
      <c r="AE40" s="284"/>
      <c r="AF40" s="284" t="str">
        <f ca="1">IF(AND('Mapa final'!$H$28="Muy Baja",'Mapa final'!$L$28="Mayor"),CONCATENATE("R",'Mapa final'!$A$28),"")</f>
        <v/>
      </c>
      <c r="AG40" s="285"/>
      <c r="AH40" s="295" t="str">
        <f ca="1">IF(AND('Mapa final'!$H$16="Muy Baja",'Mapa final'!$L$16="Catastrófico"),CONCATENATE("R",'Mapa final'!$A$16),"")</f>
        <v/>
      </c>
      <c r="AI40" s="296"/>
      <c r="AJ40" s="296" t="str">
        <f ca="1">IF(AND('Mapa final'!$H$22="Muy Baja",'Mapa final'!$L$22="Catastrófico"),CONCATENATE("R",'Mapa final'!$A$22),"")</f>
        <v/>
      </c>
      <c r="AK40" s="296"/>
      <c r="AL40" s="296" t="str">
        <f ca="1">IF(AND('Mapa final'!$H$28="Muy Baja",'Mapa final'!$L$28="Catastrófico"),CONCATENATE("R",'Mapa final'!$A$28),"")</f>
        <v/>
      </c>
      <c r="AM40" s="297"/>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row>
    <row r="41" spans="1:80" x14ac:dyDescent="0.25">
      <c r="A41" s="74"/>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row>
    <row r="42" spans="1:80" x14ac:dyDescent="0.25">
      <c r="A42" s="74"/>
      <c r="B42" s="237"/>
      <c r="C42" s="237"/>
      <c r="D42" s="238"/>
      <c r="E42" s="278"/>
      <c r="F42" s="279"/>
      <c r="G42" s="279"/>
      <c r="H42" s="279"/>
      <c r="I42" s="280"/>
      <c r="J42" s="315" t="str">
        <f ca="1">IF(AND('Mapa final'!$H$34="Muy Baja",'Mapa final'!$L$34="Leve"),CONCATENATE("R",'Mapa final'!$A$34),"")</f>
        <v/>
      </c>
      <c r="K42" s="313"/>
      <c r="L42" s="313" t="str">
        <f ca="1">IF(AND('Mapa final'!$H$40="Muy Baja",'Mapa final'!$L$40="Leve"),CONCATENATE("R",'Mapa final'!$A$40),"")</f>
        <v/>
      </c>
      <c r="M42" s="313"/>
      <c r="N42" s="313" t="str">
        <f ca="1">IF(AND('Mapa final'!$H$46="Muy Baja",'Mapa final'!$L$46="Leve"),CONCATENATE("R",'Mapa final'!$A$46),"")</f>
        <v/>
      </c>
      <c r="O42" s="314"/>
      <c r="P42" s="315" t="str">
        <f ca="1">IF(AND('Mapa final'!$H$34="Muy Baja",'Mapa final'!$L$34="Menor"),CONCATENATE("R",'Mapa final'!$A$34),"")</f>
        <v/>
      </c>
      <c r="Q42" s="313"/>
      <c r="R42" s="313" t="str">
        <f ca="1">IF(AND('Mapa final'!$H$40="Muy Baja",'Mapa final'!$L$40="Menor"),CONCATENATE("R",'Mapa final'!$A$40),"")</f>
        <v/>
      </c>
      <c r="S42" s="313"/>
      <c r="T42" s="313" t="str">
        <f ca="1">IF(AND('Mapa final'!$H$46="Muy Baja",'Mapa final'!$L$46="Menor"),CONCATENATE("R",'Mapa final'!$A$46),"")</f>
        <v/>
      </c>
      <c r="U42" s="314"/>
      <c r="V42" s="304" t="str">
        <f ca="1">IF(AND('Mapa final'!$H$34="Muy Baja",'Mapa final'!$L$34="Moderado"),CONCATENATE("R",'Mapa final'!$A$34),"")</f>
        <v/>
      </c>
      <c r="W42" s="305"/>
      <c r="X42" s="305" t="str">
        <f ca="1">IF(AND('Mapa final'!$H$40="Muy Baja",'Mapa final'!$L$40="Moderado"),CONCATENATE("R",'Mapa final'!$A$40),"")</f>
        <v/>
      </c>
      <c r="Y42" s="305"/>
      <c r="Z42" s="305" t="str">
        <f ca="1">IF(AND('Mapa final'!$H$46="Muy Baja",'Mapa final'!$L$46="Moderado"),CONCATENATE("R",'Mapa final'!$A$46),"")</f>
        <v/>
      </c>
      <c r="AA42" s="306"/>
      <c r="AB42" s="288" t="str">
        <f ca="1">IF(AND('Mapa final'!$H$34="Muy Baja",'Mapa final'!$L$34="Mayor"),CONCATENATE("R",'Mapa final'!$A$34),"")</f>
        <v/>
      </c>
      <c r="AC42" s="284"/>
      <c r="AD42" s="284" t="str">
        <f ca="1">IF(AND('Mapa final'!$H$40="Muy Baja",'Mapa final'!$L$40="Mayor"),CONCATENATE("R",'Mapa final'!$A$40),"")</f>
        <v/>
      </c>
      <c r="AE42" s="284"/>
      <c r="AF42" s="284" t="str">
        <f ca="1">IF(AND('Mapa final'!$H$46="Muy Baja",'Mapa final'!$L$46="Mayor"),CONCATENATE("R",'Mapa final'!$A$46),"")</f>
        <v/>
      </c>
      <c r="AG42" s="285"/>
      <c r="AH42" s="295" t="str">
        <f ca="1">IF(AND('Mapa final'!$H$34="Muy Baja",'Mapa final'!$L$34="Catastrófico"),CONCATENATE("R",'Mapa final'!$A$34),"")</f>
        <v/>
      </c>
      <c r="AI42" s="296"/>
      <c r="AJ42" s="296" t="str">
        <f ca="1">IF(AND('Mapa final'!$H$40="Muy Baja",'Mapa final'!$L$40="Catastrófico"),CONCATENATE("R",'Mapa final'!$A$40),"")</f>
        <v/>
      </c>
      <c r="AK42" s="296"/>
      <c r="AL42" s="296" t="str">
        <f ca="1">IF(AND('Mapa final'!$H$46="Muy Baja",'Mapa final'!$L$46="Catastrófico"),CONCATENATE("R",'Mapa final'!$A$46),"")</f>
        <v/>
      </c>
      <c r="AM42" s="297"/>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row>
    <row r="43" spans="1:80" x14ac:dyDescent="0.25">
      <c r="A43" s="74"/>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row>
    <row r="44" spans="1:80" x14ac:dyDescent="0.25">
      <c r="A44" s="74"/>
      <c r="B44" s="237"/>
      <c r="C44" s="237"/>
      <c r="D44" s="238"/>
      <c r="E44" s="278"/>
      <c r="F44" s="279"/>
      <c r="G44" s="279"/>
      <c r="H44" s="279"/>
      <c r="I44" s="280"/>
      <c r="J44" s="315" t="str">
        <f ca="1">IF(AND('Mapa final'!$H$52="Muy Baja",'Mapa final'!$L$52="Leve"),CONCATENATE("R",'Mapa final'!$A$52),"")</f>
        <v/>
      </c>
      <c r="K44" s="313"/>
      <c r="L44" s="313" t="str">
        <f>IF(AND('Mapa final'!$H$58="Muy Baja",'Mapa final'!$L$58="Leve"),CONCATENATE("R",'Mapa final'!$A$58),"")</f>
        <v/>
      </c>
      <c r="M44" s="313"/>
      <c r="N44" s="313" t="str">
        <f>IF(AND('Mapa final'!$H$64="Muy Baja",'Mapa final'!$L$64="Leve"),CONCATENATE("R",'Mapa final'!$A$64),"")</f>
        <v/>
      </c>
      <c r="O44" s="314"/>
      <c r="P44" s="315" t="str">
        <f ca="1">IF(AND('Mapa final'!$H$52="Muy Baja",'Mapa final'!$L$52="Menor"),CONCATENATE("R",'Mapa final'!$A$52),"")</f>
        <v/>
      </c>
      <c r="Q44" s="313"/>
      <c r="R44" s="313" t="str">
        <f>IF(AND('Mapa final'!$H$58="Muy Baja",'Mapa final'!$L$58="Menor"),CONCATENATE("R",'Mapa final'!$A$58),"")</f>
        <v/>
      </c>
      <c r="S44" s="313"/>
      <c r="T44" s="313" t="str">
        <f>IF(AND('Mapa final'!$H$64="Muy Baja",'Mapa final'!$L$64="Menor"),CONCATENATE("R",'Mapa final'!$A$64),"")</f>
        <v/>
      </c>
      <c r="U44" s="314"/>
      <c r="V44" s="304" t="str">
        <f ca="1">IF(AND('Mapa final'!$H$52="Muy Baja",'Mapa final'!$L$52="Moderado"),CONCATENATE("R",'Mapa final'!$A$52),"")</f>
        <v/>
      </c>
      <c r="W44" s="305"/>
      <c r="X44" s="305" t="str">
        <f>IF(AND('Mapa final'!$H$58="Muy Baja",'Mapa final'!$L$58="Moderado"),CONCATENATE("R",'Mapa final'!$A$58),"")</f>
        <v/>
      </c>
      <c r="Y44" s="305"/>
      <c r="Z44" s="305" t="str">
        <f>IF(AND('Mapa final'!$H$64="Muy Baja",'Mapa final'!$L$64="Moderado"),CONCATENATE("R",'Mapa final'!$A$64),"")</f>
        <v/>
      </c>
      <c r="AA44" s="306"/>
      <c r="AB44" s="288" t="str">
        <f ca="1">IF(AND('Mapa final'!$H$52="Muy Baja",'Mapa final'!$L$52="Mayor"),CONCATENATE("R",'Mapa final'!$A$52),"")</f>
        <v/>
      </c>
      <c r="AC44" s="284"/>
      <c r="AD44" s="284" t="str">
        <f>IF(AND('Mapa final'!$H$58="Muy Baja",'Mapa final'!$L$58="Mayor"),CONCATENATE("R",'Mapa final'!$A$58),"")</f>
        <v/>
      </c>
      <c r="AE44" s="284"/>
      <c r="AF44" s="284" t="str">
        <f>IF(AND('Mapa final'!$H$64="Muy Baja",'Mapa final'!$L$64="Mayor"),CONCATENATE("R",'Mapa final'!$A$64),"")</f>
        <v/>
      </c>
      <c r="AG44" s="285"/>
      <c r="AH44" s="295" t="str">
        <f ca="1">IF(AND('Mapa final'!$H$52="Muy Baja",'Mapa final'!$L$52="Catastrófico"),CONCATENATE("R",'Mapa final'!$A$52),"")</f>
        <v/>
      </c>
      <c r="AI44" s="296"/>
      <c r="AJ44" s="296" t="str">
        <f>IF(AND('Mapa final'!$H$58="Muy Baja",'Mapa final'!$L$58="Catastrófico"),CONCATENATE("R",'Mapa final'!$A$58),"")</f>
        <v/>
      </c>
      <c r="AK44" s="296"/>
      <c r="AL44" s="296" t="str">
        <f>IF(AND('Mapa final'!$H$64="Muy Baja",'Mapa final'!$L$64="Catastrófico"),CONCATENATE("R",'Mapa final'!$A$64),"")</f>
        <v/>
      </c>
      <c r="AM44" s="297"/>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row>
    <row r="45" spans="1:80" ht="15.75" thickBot="1" x14ac:dyDescent="0.3">
      <c r="A45" s="74"/>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row>
    <row r="46" spans="1:80" x14ac:dyDescent="0.25">
      <c r="A46" s="74"/>
      <c r="B46" s="74"/>
      <c r="C46" s="74"/>
      <c r="D46" s="74"/>
      <c r="E46" s="74"/>
      <c r="F46" s="74"/>
      <c r="G46" s="74"/>
      <c r="H46" s="74"/>
      <c r="I46" s="74"/>
      <c r="J46" s="275" t="s">
        <v>110</v>
      </c>
      <c r="K46" s="276"/>
      <c r="L46" s="276"/>
      <c r="M46" s="276"/>
      <c r="N46" s="276"/>
      <c r="O46" s="277"/>
      <c r="P46" s="275" t="s">
        <v>109</v>
      </c>
      <c r="Q46" s="276"/>
      <c r="R46" s="276"/>
      <c r="S46" s="276"/>
      <c r="T46" s="276"/>
      <c r="U46" s="277"/>
      <c r="V46" s="275" t="s">
        <v>108</v>
      </c>
      <c r="W46" s="276"/>
      <c r="X46" s="276"/>
      <c r="Y46" s="276"/>
      <c r="Z46" s="276"/>
      <c r="AA46" s="277"/>
      <c r="AB46" s="275" t="s">
        <v>107</v>
      </c>
      <c r="AC46" s="291"/>
      <c r="AD46" s="276"/>
      <c r="AE46" s="276"/>
      <c r="AF46" s="276"/>
      <c r="AG46" s="277"/>
      <c r="AH46" s="275" t="s">
        <v>106</v>
      </c>
      <c r="AI46" s="276"/>
      <c r="AJ46" s="276"/>
      <c r="AK46" s="276"/>
      <c r="AL46" s="276"/>
      <c r="AM46" s="277"/>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x14ac:dyDescent="0.25">
      <c r="A47" s="74"/>
      <c r="B47" s="74"/>
      <c r="C47" s="74"/>
      <c r="D47" s="74"/>
      <c r="E47" s="74"/>
      <c r="F47" s="74"/>
      <c r="G47" s="74"/>
      <c r="H47" s="74"/>
      <c r="I47" s="74"/>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x14ac:dyDescent="0.25">
      <c r="A48" s="74"/>
      <c r="B48" s="74"/>
      <c r="C48" s="74"/>
      <c r="D48" s="74"/>
      <c r="E48" s="74"/>
      <c r="F48" s="74"/>
      <c r="G48" s="74"/>
      <c r="H48" s="74"/>
      <c r="I48" s="74"/>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x14ac:dyDescent="0.25">
      <c r="A49" s="74"/>
      <c r="B49" s="74"/>
      <c r="C49" s="74"/>
      <c r="D49" s="74"/>
      <c r="E49" s="74"/>
      <c r="F49" s="74"/>
      <c r="G49" s="74"/>
      <c r="H49" s="74"/>
      <c r="I49" s="74"/>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x14ac:dyDescent="0.25">
      <c r="A50" s="74"/>
      <c r="B50" s="74"/>
      <c r="C50" s="74"/>
      <c r="D50" s="74"/>
      <c r="E50" s="74"/>
      <c r="F50" s="74"/>
      <c r="G50" s="74"/>
      <c r="H50" s="74"/>
      <c r="I50" s="74"/>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75" thickBot="1" x14ac:dyDescent="0.3">
      <c r="A51" s="74"/>
      <c r="B51" s="74"/>
      <c r="C51" s="74"/>
      <c r="D51" s="74"/>
      <c r="E51" s="74"/>
      <c r="F51" s="74"/>
      <c r="G51" s="74"/>
      <c r="H51" s="74"/>
      <c r="I51" s="74"/>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row>
    <row r="63" spans="1:80"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row>
    <row r="64" spans="1:80"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row>
    <row r="65" spans="1:8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row>
    <row r="66" spans="1:8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row>
    <row r="67" spans="1:8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row>
    <row r="68" spans="1:8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row>
    <row r="69" spans="1:8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row>
    <row r="70" spans="1:8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row>
    <row r="71" spans="1:8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row>
    <row r="72" spans="1:8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row>
    <row r="73" spans="1:8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row>
    <row r="74" spans="1:8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row>
    <row r="75" spans="1:8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row>
    <row r="76" spans="1:8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row>
    <row r="77" spans="1:8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row>
    <row r="78" spans="1:8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row>
    <row r="79" spans="1:8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row>
    <row r="80" spans="1:8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row>
    <row r="81" spans="1:63"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row>
    <row r="82" spans="1:63"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row>
    <row r="83" spans="1:63"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row>
    <row r="84" spans="1:63"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row>
    <row r="85" spans="1:63"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row>
    <row r="86" spans="1:63"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row>
    <row r="87" spans="1:63"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row>
    <row r="88" spans="1:63"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row>
    <row r="89" spans="1:63"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row>
    <row r="90" spans="1:63"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row>
    <row r="91" spans="1:63"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row>
    <row r="92" spans="1:63"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row>
    <row r="93" spans="1:63"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row>
    <row r="94" spans="1:63"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row>
    <row r="95" spans="1:63"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row>
    <row r="96" spans="1:63"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row>
    <row r="97" spans="1:63"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row>
    <row r="98" spans="1:63"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row>
    <row r="99" spans="1:63"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row>
    <row r="100" spans="1:63"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row>
    <row r="101" spans="1:63"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row>
    <row r="102" spans="1:63"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row>
    <row r="103" spans="1:63"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row>
    <row r="104" spans="1:63"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row>
    <row r="106" spans="1:63"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row>
    <row r="107" spans="1:63"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row>
    <row r="108" spans="1:63"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row>
    <row r="109" spans="1:63"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row>
    <row r="110" spans="1:63"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row>
    <row r="111" spans="1:63"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row>
    <row r="112" spans="1:63"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row>
    <row r="113" spans="1:63"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row>
    <row r="114" spans="1:63"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row>
    <row r="115" spans="1:63"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row>
    <row r="116" spans="1:63"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row>
    <row r="117" spans="1:63"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row>
    <row r="118" spans="1:63"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row>
    <row r="119" spans="1:63"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row>
    <row r="120" spans="1:63"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row>
    <row r="121" spans="1:63"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row>
    <row r="122" spans="1:63" x14ac:dyDescent="0.25">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row>
    <row r="123" spans="1:63" x14ac:dyDescent="0.25">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row>
    <row r="124" spans="1:63" x14ac:dyDescent="0.25">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row>
    <row r="125" spans="1:63" x14ac:dyDescent="0.2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row>
    <row r="126" spans="1:63" x14ac:dyDescent="0.2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row>
    <row r="127" spans="1:63" x14ac:dyDescent="0.2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row>
    <row r="128" spans="1:63" x14ac:dyDescent="0.25">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row>
    <row r="129" spans="2:63" x14ac:dyDescent="0.25">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row>
    <row r="130" spans="2:63" x14ac:dyDescent="0.2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row>
    <row r="131" spans="2:63" x14ac:dyDescent="0.2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row>
    <row r="132" spans="2:63" x14ac:dyDescent="0.2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row>
    <row r="133" spans="2:63" x14ac:dyDescent="0.25">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row>
    <row r="134" spans="2:63" x14ac:dyDescent="0.25">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row>
    <row r="135" spans="2:63" x14ac:dyDescent="0.2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row>
    <row r="136" spans="2:63" x14ac:dyDescent="0.2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row>
    <row r="137" spans="2:63" x14ac:dyDescent="0.25">
      <c r="B137" s="74"/>
      <c r="C137" s="74"/>
      <c r="D137" s="74"/>
      <c r="E137" s="74"/>
      <c r="F137" s="74"/>
      <c r="G137" s="74"/>
      <c r="H137" s="74"/>
      <c r="I137" s="74"/>
    </row>
    <row r="138" spans="2:63" x14ac:dyDescent="0.25">
      <c r="B138" s="74"/>
      <c r="C138" s="74"/>
      <c r="D138" s="74"/>
      <c r="E138" s="74"/>
      <c r="F138" s="74"/>
      <c r="G138" s="74"/>
      <c r="H138" s="74"/>
      <c r="I138" s="74"/>
    </row>
    <row r="139" spans="2:63" x14ac:dyDescent="0.25">
      <c r="B139" s="74"/>
      <c r="C139" s="74"/>
      <c r="D139" s="74"/>
      <c r="E139" s="74"/>
      <c r="F139" s="74"/>
      <c r="G139" s="74"/>
      <c r="H139" s="74"/>
      <c r="I139" s="74"/>
    </row>
    <row r="140" spans="2:63" x14ac:dyDescent="0.25">
      <c r="B140" s="74"/>
      <c r="C140" s="74"/>
      <c r="D140" s="74"/>
      <c r="E140" s="74"/>
      <c r="F140" s="74"/>
      <c r="G140" s="74"/>
      <c r="H140" s="74"/>
      <c r="I140" s="7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3" zoomScale="50" zoomScaleNormal="50" workbookViewId="0">
      <selection activeCell="M6" sqref="M6"/>
    </sheetView>
  </sheetViews>
  <sheetFormatPr baseColWidth="10" defaultRowHeight="15" x14ac:dyDescent="0.25"/>
  <cols>
    <col min="2" max="14" width="5.7109375" customWidth="1"/>
    <col min="15" max="15" width="7.140625" bestFit="1" customWidth="1"/>
    <col min="16" max="18" width="5.7109375" customWidth="1"/>
    <col min="19" max="19" width="8.42578125" customWidth="1"/>
    <col min="20" max="23" width="5.7109375" customWidth="1"/>
    <col min="24" max="24" width="7.140625" bestFit="1"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row>
    <row r="2" spans="1:91" ht="18" customHeight="1" x14ac:dyDescent="0.25">
      <c r="A2" s="74"/>
      <c r="B2" s="348" t="s">
        <v>158</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row>
    <row r="3" spans="1:91" ht="18.75" customHeight="1" x14ac:dyDescent="0.25">
      <c r="A3" s="74"/>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row>
    <row r="4" spans="1:91" ht="15" customHeight="1" x14ac:dyDescent="0.25">
      <c r="A4" s="74"/>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row>
    <row r="5" spans="1:91"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row>
    <row r="6" spans="1:91" ht="15" customHeight="1" x14ac:dyDescent="0.25">
      <c r="A6" s="74"/>
      <c r="B6" s="237" t="s">
        <v>4</v>
      </c>
      <c r="C6" s="237"/>
      <c r="D6" s="238"/>
      <c r="E6" s="332" t="s">
        <v>114</v>
      </c>
      <c r="F6" s="333"/>
      <c r="G6" s="333"/>
      <c r="H6" s="333"/>
      <c r="I6" s="350"/>
      <c r="J6" s="37" t="e">
        <f>IF(AND('Mapa final'!#REF!="Muy Alta",'Mapa final'!#REF!="Leve"),CONCATENATE("R1C",'Mapa final'!#REF!),"")</f>
        <v>#REF!</v>
      </c>
      <c r="K6" s="38" t="e">
        <f>IF(AND('Mapa final'!#REF!="Muy Alta",'Mapa final'!#REF!="Leve"),CONCATENATE("R1C",'Mapa final'!#REF!),"")</f>
        <v>#REF!</v>
      </c>
      <c r="L6" s="38" t="e">
        <f>IF(AND('Mapa final'!#REF!="Muy Alta",'Mapa final'!#REF!="Leve"),CONCATENATE("R1C",'Mapa final'!#REF!),"")</f>
        <v>#REF!</v>
      </c>
      <c r="M6" s="38" t="e">
        <f>IF(AND('Mapa final'!#REF!="Muy Alta",'Mapa final'!#REF!="Leve"),CONCATENATE("R1C",'Mapa final'!#REF!),"")</f>
        <v>#REF!</v>
      </c>
      <c r="N6" s="38" t="e">
        <f>IF(AND('Mapa final'!#REF!="Muy Alta",'Mapa final'!#REF!="Leve"),CONCATENATE("R1C",'Mapa final'!#REF!),"")</f>
        <v>#REF!</v>
      </c>
      <c r="O6" s="39" t="e">
        <f>IF(AND('Mapa final'!#REF!="Muy Alta",'Mapa final'!#REF!="Leve"),CONCATENATE("R1C",'Mapa final'!#REF!),"")</f>
        <v>#REF!</v>
      </c>
      <c r="P6" s="37" t="e">
        <f>IF(AND('Mapa final'!#REF!="Muy Alta",'Mapa final'!#REF!="Menor"),CONCATENATE("R1C",'Mapa final'!#REF!),"")</f>
        <v>#REF!</v>
      </c>
      <c r="Q6" s="38" t="e">
        <f>IF(AND('Mapa final'!#REF!="Muy Alta",'Mapa final'!#REF!="Menor"),CONCATENATE("R1C",'Mapa final'!#REF!),"")</f>
        <v>#REF!</v>
      </c>
      <c r="R6" s="38" t="e">
        <f>IF(AND('Mapa final'!#REF!="Muy Alta",'Mapa final'!#REF!="Menor"),CONCATENATE("R1C",'Mapa final'!#REF!),"")</f>
        <v>#REF!</v>
      </c>
      <c r="S6" s="38" t="e">
        <f>IF(AND('Mapa final'!#REF!="Muy Alta",'Mapa final'!#REF!="Menor"),CONCATENATE("R1C",'Mapa final'!#REF!),"")</f>
        <v>#REF!</v>
      </c>
      <c r="T6" s="38" t="e">
        <f>IF(AND('Mapa final'!#REF!="Muy Alta",'Mapa final'!#REF!="Menor"),CONCATENATE("R1C",'Mapa final'!#REF!),"")</f>
        <v>#REF!</v>
      </c>
      <c r="U6" s="39" t="e">
        <f>IF(AND('Mapa final'!#REF!="Muy Alta",'Mapa final'!#REF!="Menor"),CONCATENATE("R1C",'Mapa final'!#REF!),"")</f>
        <v>#REF!</v>
      </c>
      <c r="V6" s="37" t="e">
        <f>IF(AND('Mapa final'!#REF!="Muy Alta",'Mapa final'!#REF!="Moderado"),CONCATENATE("R1C",'Mapa final'!#REF!),"")</f>
        <v>#REF!</v>
      </c>
      <c r="W6" s="38" t="e">
        <f>IF(AND('Mapa final'!#REF!="Muy Alta",'Mapa final'!#REF!="Moderado"),CONCATENATE("R1C",'Mapa final'!#REF!),"")</f>
        <v>#REF!</v>
      </c>
      <c r="X6" s="38" t="e">
        <f>IF(AND('Mapa final'!#REF!="Muy Alta",'Mapa final'!#REF!="Moderado"),CONCATENATE("R1C",'Mapa final'!#REF!),"")</f>
        <v>#REF!</v>
      </c>
      <c r="Y6" s="38" t="e">
        <f>IF(AND('Mapa final'!#REF!="Muy Alta",'Mapa final'!#REF!="Moderado"),CONCATENATE("R1C",'Mapa final'!#REF!),"")</f>
        <v>#REF!</v>
      </c>
      <c r="Z6" s="38" t="e">
        <f>IF(AND('Mapa final'!#REF!="Muy Alta",'Mapa final'!#REF!="Moderado"),CONCATENATE("R1C",'Mapa final'!#REF!),"")</f>
        <v>#REF!</v>
      </c>
      <c r="AA6" s="39" t="e">
        <f>IF(AND('Mapa final'!#REF!="Muy Alta",'Mapa final'!#REF!="Moderado"),CONCATENATE("R1C",'Mapa final'!#REF!),"")</f>
        <v>#REF!</v>
      </c>
      <c r="AB6" s="37" t="e">
        <f>IF(AND('Mapa final'!#REF!="Muy Alta",'Mapa final'!#REF!="Mayor"),CONCATENATE("R1C",'Mapa final'!#REF!),"")</f>
        <v>#REF!</v>
      </c>
      <c r="AC6" s="38" t="e">
        <f>IF(AND('Mapa final'!#REF!="Muy Alta",'Mapa final'!#REF!="Mayor"),CONCATENATE("R1C",'Mapa final'!#REF!),"")</f>
        <v>#REF!</v>
      </c>
      <c r="AD6" s="38" t="e">
        <f>IF(AND('Mapa final'!#REF!="Muy Alta",'Mapa final'!#REF!="Mayor"),CONCATENATE("R1C",'Mapa final'!#REF!),"")</f>
        <v>#REF!</v>
      </c>
      <c r="AE6" s="38" t="e">
        <f>IF(AND('Mapa final'!#REF!="Muy Alta",'Mapa final'!#REF!="Mayor"),CONCATENATE("R1C",'Mapa final'!#REF!),"")</f>
        <v>#REF!</v>
      </c>
      <c r="AF6" s="38" t="e">
        <f>IF(AND('Mapa final'!#REF!="Muy Alta",'Mapa final'!#REF!="Mayor"),CONCATENATE("R1C",'Mapa final'!#REF!),"")</f>
        <v>#REF!</v>
      </c>
      <c r="AG6" s="39" t="e">
        <f>IF(AND('Mapa final'!#REF!="Muy Alta",'Mapa final'!#REF!="Mayor"),CONCATENATE("R1C",'Mapa final'!#REF!),"")</f>
        <v>#REF!</v>
      </c>
      <c r="AH6" s="40" t="e">
        <f>IF(AND('Mapa final'!#REF!="Muy Alta",'Mapa final'!#REF!="Catastrófico"),CONCATENATE("R1C",'Mapa final'!#REF!),"")</f>
        <v>#REF!</v>
      </c>
      <c r="AI6" s="41" t="e">
        <f>IF(AND('Mapa final'!#REF!="Muy Alta",'Mapa final'!#REF!="Catastrófico"),CONCATENATE("R1C",'Mapa final'!#REF!),"")</f>
        <v>#REF!</v>
      </c>
      <c r="AJ6" s="41" t="e">
        <f>IF(AND('Mapa final'!#REF!="Muy Alta",'Mapa final'!#REF!="Catastrófico"),CONCATENATE("R1C",'Mapa final'!#REF!),"")</f>
        <v>#REF!</v>
      </c>
      <c r="AK6" s="41" t="e">
        <f>IF(AND('Mapa final'!#REF!="Muy Alta",'Mapa final'!#REF!="Catastrófico"),CONCATENATE("R1C",'Mapa final'!#REF!),"")</f>
        <v>#REF!</v>
      </c>
      <c r="AL6" s="41" t="e">
        <f>IF(AND('Mapa final'!#REF!="Muy Alta",'Mapa final'!#REF!="Catastrófico"),CONCATENATE("R1C",'Mapa final'!#REF!),"")</f>
        <v>#REF!</v>
      </c>
      <c r="AM6" s="42" t="e">
        <f>IF(AND('Mapa final'!#REF!="Muy Alta",'Mapa final'!#REF!="Catastrófico"),CONCATENATE("R1C",'Mapa final'!#REF!),"")</f>
        <v>#REF!</v>
      </c>
      <c r="AN6" s="74"/>
      <c r="AO6" s="339" t="s">
        <v>79</v>
      </c>
      <c r="AP6" s="340"/>
      <c r="AQ6" s="340"/>
      <c r="AR6" s="340"/>
      <c r="AS6" s="340"/>
      <c r="AT6" s="341"/>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91" ht="15" customHeight="1" x14ac:dyDescent="0.25">
      <c r="A7" s="74"/>
      <c r="B7" s="237"/>
      <c r="C7" s="237"/>
      <c r="D7" s="238"/>
      <c r="E7" s="336"/>
      <c r="F7" s="335"/>
      <c r="G7" s="335"/>
      <c r="H7" s="335"/>
      <c r="I7" s="351"/>
      <c r="J7" s="43" t="e">
        <f>IF(AND('Mapa final'!#REF!="Muy Alta",'Mapa final'!#REF!="Leve"),CONCATENATE("R2C",'Mapa final'!#REF!),"")</f>
        <v>#REF!</v>
      </c>
      <c r="K7" s="44" t="e">
        <f>IF(AND('Mapa final'!#REF!="Muy Alta",'Mapa final'!#REF!="Leve"),CONCATENATE("R2C",'Mapa final'!#REF!),"")</f>
        <v>#REF!</v>
      </c>
      <c r="L7" s="44" t="e">
        <f>IF(AND('Mapa final'!#REF!="Muy Alta",'Mapa final'!#REF!="Leve"),CONCATENATE("R2C",'Mapa final'!#REF!),"")</f>
        <v>#REF!</v>
      </c>
      <c r="M7" s="44" t="e">
        <f>IF(AND('Mapa final'!#REF!="Muy Alta",'Mapa final'!#REF!="Leve"),CONCATENATE("R2C",'Mapa final'!#REF!),"")</f>
        <v>#REF!</v>
      </c>
      <c r="N7" s="44" t="e">
        <f>IF(AND('Mapa final'!#REF!="Muy Alta",'Mapa final'!#REF!="Leve"),CONCATENATE("R2C",'Mapa final'!#REF!),"")</f>
        <v>#REF!</v>
      </c>
      <c r="O7" s="45" t="e">
        <f>IF(AND('Mapa final'!#REF!="Muy Alta",'Mapa final'!#REF!="Leve"),CONCATENATE("R2C",'Mapa final'!#REF!),"")</f>
        <v>#REF!</v>
      </c>
      <c r="P7" s="43" t="e">
        <f>IF(AND('Mapa final'!#REF!="Muy Alta",'Mapa final'!#REF!="Menor"),CONCATENATE("R2C",'Mapa final'!#REF!),"")</f>
        <v>#REF!</v>
      </c>
      <c r="Q7" s="44" t="e">
        <f>IF(AND('Mapa final'!#REF!="Muy Alta",'Mapa final'!#REF!="Menor"),CONCATENATE("R2C",'Mapa final'!#REF!),"")</f>
        <v>#REF!</v>
      </c>
      <c r="R7" s="44" t="e">
        <f>IF(AND('Mapa final'!#REF!="Muy Alta",'Mapa final'!#REF!="Menor"),CONCATENATE("R2C",'Mapa final'!#REF!),"")</f>
        <v>#REF!</v>
      </c>
      <c r="S7" s="44" t="e">
        <f>IF(AND('Mapa final'!#REF!="Muy Alta",'Mapa final'!#REF!="Menor"),CONCATENATE("R2C",'Mapa final'!#REF!),"")</f>
        <v>#REF!</v>
      </c>
      <c r="T7" s="44" t="e">
        <f>IF(AND('Mapa final'!#REF!="Muy Alta",'Mapa final'!#REF!="Menor"),CONCATENATE("R2C",'Mapa final'!#REF!),"")</f>
        <v>#REF!</v>
      </c>
      <c r="U7" s="45" t="e">
        <f>IF(AND('Mapa final'!#REF!="Muy Alta",'Mapa final'!#REF!="Menor"),CONCATENATE("R2C",'Mapa final'!#REF!),"")</f>
        <v>#REF!</v>
      </c>
      <c r="V7" s="43" t="e">
        <f>IF(AND('Mapa final'!#REF!="Muy Alta",'Mapa final'!#REF!="Moderado"),CONCATENATE("R2C",'Mapa final'!#REF!),"")</f>
        <v>#REF!</v>
      </c>
      <c r="W7" s="44" t="e">
        <f>IF(AND('Mapa final'!#REF!="Muy Alta",'Mapa final'!#REF!="Moderado"),CONCATENATE("R2C",'Mapa final'!#REF!),"")</f>
        <v>#REF!</v>
      </c>
      <c r="X7" s="44" t="e">
        <f>IF(AND('Mapa final'!#REF!="Muy Alta",'Mapa final'!#REF!="Moderado"),CONCATENATE("R2C",'Mapa final'!#REF!),"")</f>
        <v>#REF!</v>
      </c>
      <c r="Y7" s="44" t="e">
        <f>IF(AND('Mapa final'!#REF!="Muy Alta",'Mapa final'!#REF!="Moderado"),CONCATENATE("R2C",'Mapa final'!#REF!),"")</f>
        <v>#REF!</v>
      </c>
      <c r="Z7" s="44" t="e">
        <f>IF(AND('Mapa final'!#REF!="Muy Alta",'Mapa final'!#REF!="Moderado"),CONCATENATE("R2C",'Mapa final'!#REF!),"")</f>
        <v>#REF!</v>
      </c>
      <c r="AA7" s="45" t="e">
        <f>IF(AND('Mapa final'!#REF!="Muy Alta",'Mapa final'!#REF!="Moderado"),CONCATENATE("R2C",'Mapa final'!#REF!),"")</f>
        <v>#REF!</v>
      </c>
      <c r="AB7" s="43" t="e">
        <f>IF(AND('Mapa final'!#REF!="Muy Alta",'Mapa final'!#REF!="Mayor"),CONCATENATE("R2C",'Mapa final'!#REF!),"")</f>
        <v>#REF!</v>
      </c>
      <c r="AC7" s="44" t="e">
        <f>IF(AND('Mapa final'!#REF!="Muy Alta",'Mapa final'!#REF!="Mayor"),CONCATENATE("R2C",'Mapa final'!#REF!),"")</f>
        <v>#REF!</v>
      </c>
      <c r="AD7" s="44" t="e">
        <f>IF(AND('Mapa final'!#REF!="Muy Alta",'Mapa final'!#REF!="Mayor"),CONCATENATE("R2C",'Mapa final'!#REF!),"")</f>
        <v>#REF!</v>
      </c>
      <c r="AE7" s="44" t="e">
        <f>IF(AND('Mapa final'!#REF!="Muy Alta",'Mapa final'!#REF!="Mayor"),CONCATENATE("R2C",'Mapa final'!#REF!),"")</f>
        <v>#REF!</v>
      </c>
      <c r="AF7" s="44" t="e">
        <f>IF(AND('Mapa final'!#REF!="Muy Alta",'Mapa final'!#REF!="Mayor"),CONCATENATE("R2C",'Mapa final'!#REF!),"")</f>
        <v>#REF!</v>
      </c>
      <c r="AG7" s="45" t="e">
        <f>IF(AND('Mapa final'!#REF!="Muy Alta",'Mapa final'!#REF!="Mayor"),CONCATENATE("R2C",'Mapa final'!#REF!),"")</f>
        <v>#REF!</v>
      </c>
      <c r="AH7" s="46" t="e">
        <f>IF(AND('Mapa final'!#REF!="Muy Alta",'Mapa final'!#REF!="Catastrófico"),CONCATENATE("R2C",'Mapa final'!#REF!),"")</f>
        <v>#REF!</v>
      </c>
      <c r="AI7" s="47" t="e">
        <f>IF(AND('Mapa final'!#REF!="Muy Alta",'Mapa final'!#REF!="Catastrófico"),CONCATENATE("R2C",'Mapa final'!#REF!),"")</f>
        <v>#REF!</v>
      </c>
      <c r="AJ7" s="47" t="e">
        <f>IF(AND('Mapa final'!#REF!="Muy Alta",'Mapa final'!#REF!="Catastrófico"),CONCATENATE("R2C",'Mapa final'!#REF!),"")</f>
        <v>#REF!</v>
      </c>
      <c r="AK7" s="47" t="e">
        <f>IF(AND('Mapa final'!#REF!="Muy Alta",'Mapa final'!#REF!="Catastrófico"),CONCATENATE("R2C",'Mapa final'!#REF!),"")</f>
        <v>#REF!</v>
      </c>
      <c r="AL7" s="47" t="e">
        <f>IF(AND('Mapa final'!#REF!="Muy Alta",'Mapa final'!#REF!="Catastrófico"),CONCATENATE("R2C",'Mapa final'!#REF!),"")</f>
        <v>#REF!</v>
      </c>
      <c r="AM7" s="48" t="e">
        <f>IF(AND('Mapa final'!#REF!="Muy Alta",'Mapa final'!#REF!="Catastrófico"),CONCATENATE("R2C",'Mapa final'!#REF!),"")</f>
        <v>#REF!</v>
      </c>
      <c r="AN7" s="74"/>
      <c r="AO7" s="342"/>
      <c r="AP7" s="343"/>
      <c r="AQ7" s="343"/>
      <c r="AR7" s="343"/>
      <c r="AS7" s="343"/>
      <c r="AT7" s="34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row>
    <row r="8" spans="1:91" ht="15" customHeight="1" x14ac:dyDescent="0.25">
      <c r="A8" s="74"/>
      <c r="B8" s="237"/>
      <c r="C8" s="237"/>
      <c r="D8" s="238"/>
      <c r="E8" s="336"/>
      <c r="F8" s="335"/>
      <c r="G8" s="335"/>
      <c r="H8" s="335"/>
      <c r="I8" s="351"/>
      <c r="J8" s="43" t="str">
        <f ca="1">IF(AND('Mapa final'!$Y$10="Muy Alta",'Mapa final'!$AA$10="Leve"),CONCATENATE("R3C",'Mapa final'!$O$10),"")</f>
        <v/>
      </c>
      <c r="K8" s="44" t="str">
        <f ca="1">IF(AND('Mapa final'!$Y$11="Muy Alta",'Mapa final'!$AA$11="Leve"),CONCATENATE("R3C",'Mapa final'!$O$11),"")</f>
        <v/>
      </c>
      <c r="L8" s="44" t="str">
        <f ca="1">IF(AND('Mapa final'!$Y$12="Muy Alta",'Mapa final'!$AA$12="Leve"),CONCATENATE("R3C",'Mapa final'!$O$12),"")</f>
        <v/>
      </c>
      <c r="M8" s="44" t="str">
        <f ca="1">IF(AND('Mapa final'!$Y$13="Muy Alta",'Mapa final'!$AA$13="Leve"),CONCATENATE("R3C",'Mapa final'!$O$13),"")</f>
        <v/>
      </c>
      <c r="N8" s="44" t="str">
        <f>IF(AND('Mapa final'!$Y$14="Muy Alta",'Mapa final'!$AA$14="Leve"),CONCATENATE("R3C",'Mapa final'!$O$14),"")</f>
        <v/>
      </c>
      <c r="O8" s="45" t="str">
        <f>IF(AND('Mapa final'!$Y$15="Muy Alta",'Mapa final'!$AA$15="Leve"),CONCATENATE("R3C",'Mapa final'!$O$15),"")</f>
        <v/>
      </c>
      <c r="P8" s="43" t="str">
        <f ca="1">IF(AND('Mapa final'!$Y$10="Muy Alta",'Mapa final'!$AA$10="Menor"),CONCATENATE("R3C",'Mapa final'!$O$10),"")</f>
        <v/>
      </c>
      <c r="Q8" s="44" t="str">
        <f ca="1">IF(AND('Mapa final'!$Y$11="Muy Alta",'Mapa final'!$AA$11="Menor"),CONCATENATE("R3C",'Mapa final'!$O$11),"")</f>
        <v/>
      </c>
      <c r="R8" s="44" t="str">
        <f ca="1">IF(AND('Mapa final'!$Y$12="Muy Alta",'Mapa final'!$AA$12="Menor"),CONCATENATE("R3C",'Mapa final'!$O$12),"")</f>
        <v/>
      </c>
      <c r="S8" s="44" t="str">
        <f ca="1">IF(AND('Mapa final'!$Y$13="Muy Alta",'Mapa final'!$AA$13="Menor"),CONCATENATE("R3C",'Mapa final'!$O$13),"")</f>
        <v/>
      </c>
      <c r="T8" s="44" t="str">
        <f>IF(AND('Mapa final'!$Y$14="Muy Alta",'Mapa final'!$AA$14="Menor"),CONCATENATE("R3C",'Mapa final'!$O$14),"")</f>
        <v/>
      </c>
      <c r="U8" s="45" t="str">
        <f>IF(AND('Mapa final'!$Y$15="Muy Alta",'Mapa final'!$AA$15="Menor"),CONCATENATE("R3C",'Mapa final'!$O$15),"")</f>
        <v/>
      </c>
      <c r="V8" s="43" t="str">
        <f ca="1">IF(AND('Mapa final'!$Y$10="Muy Alta",'Mapa final'!$AA$10="Moderado"),CONCATENATE("R3C",'Mapa final'!$O$10),"")</f>
        <v/>
      </c>
      <c r="W8" s="44" t="str">
        <f ca="1">IF(AND('Mapa final'!$Y$11="Muy Alta",'Mapa final'!$AA$11="Moderado"),CONCATENATE("R3C",'Mapa final'!$O$11),"")</f>
        <v/>
      </c>
      <c r="X8" s="44" t="str">
        <f ca="1">IF(AND('Mapa final'!$Y$12="Muy Alta",'Mapa final'!$AA$12="Moderado"),CONCATENATE("R3C",'Mapa final'!$O$12),"")</f>
        <v/>
      </c>
      <c r="Y8" s="44" t="str">
        <f ca="1">IF(AND('Mapa final'!$Y$13="Muy Alta",'Mapa final'!$AA$13="Moderado"),CONCATENATE("R3C",'Mapa final'!$O$13),"")</f>
        <v/>
      </c>
      <c r="Z8" s="44" t="str">
        <f>IF(AND('Mapa final'!$Y$14="Muy Alta",'Mapa final'!$AA$14="Moderado"),CONCATENATE("R3C",'Mapa final'!$O$14),"")</f>
        <v/>
      </c>
      <c r="AA8" s="45" t="str">
        <f>IF(AND('Mapa final'!$Y$15="Muy Alta",'Mapa final'!$AA$15="Moderado"),CONCATENATE("R3C",'Mapa final'!$O$15),"")</f>
        <v/>
      </c>
      <c r="AB8" s="43" t="str">
        <f ca="1">IF(AND('Mapa final'!$Y$10="Muy Alta",'Mapa final'!$AA$10="Mayor"),CONCATENATE("R3C",'Mapa final'!$O$10),"")</f>
        <v/>
      </c>
      <c r="AC8" s="44" t="str">
        <f ca="1">IF(AND('Mapa final'!$Y$11="Muy Alta",'Mapa final'!$AA$11="Mayor"),CONCATENATE("R3C",'Mapa final'!$O$11),"")</f>
        <v/>
      </c>
      <c r="AD8" s="44" t="str">
        <f ca="1">IF(AND('Mapa final'!$Y$12="Muy Alta",'Mapa final'!$AA$12="Mayor"),CONCATENATE("R3C",'Mapa final'!$O$12),"")</f>
        <v/>
      </c>
      <c r="AE8" s="44" t="str">
        <f ca="1">IF(AND('Mapa final'!$Y$13="Muy Alta",'Mapa final'!$AA$13="Mayor"),CONCATENATE("R3C",'Mapa final'!$O$13),"")</f>
        <v/>
      </c>
      <c r="AF8" s="44" t="str">
        <f>IF(AND('Mapa final'!$Y$14="Muy Alta",'Mapa final'!$AA$14="Mayor"),CONCATENATE("R3C",'Mapa final'!$O$14),"")</f>
        <v/>
      </c>
      <c r="AG8" s="45" t="str">
        <f>IF(AND('Mapa final'!$Y$15="Muy Alta",'Mapa final'!$AA$15="Mayor"),CONCATENATE("R3C",'Mapa final'!$O$15),"")</f>
        <v/>
      </c>
      <c r="AH8" s="46" t="str">
        <f ca="1">IF(AND('Mapa final'!$Y$10="Muy Alta",'Mapa final'!$AA$10="Catastrófico"),CONCATENATE("R3C",'Mapa final'!$O$10),"")</f>
        <v/>
      </c>
      <c r="AI8" s="47" t="str">
        <f ca="1">IF(AND('Mapa final'!$Y$11="Muy Alta",'Mapa final'!$AA$11="Catastrófico"),CONCATENATE("R3C",'Mapa final'!$O$11),"")</f>
        <v/>
      </c>
      <c r="AJ8" s="47" t="str">
        <f ca="1">IF(AND('Mapa final'!$Y$12="Muy Alta",'Mapa final'!$AA$12="Catastrófico"),CONCATENATE("R3C",'Mapa final'!$O$12),"")</f>
        <v/>
      </c>
      <c r="AK8" s="47" t="str">
        <f ca="1">IF(AND('Mapa final'!$Y$13="Muy Alta",'Mapa final'!$AA$13="Catastrófico"),CONCATENATE("R3C",'Mapa final'!$O$13),"")</f>
        <v/>
      </c>
      <c r="AL8" s="47" t="str">
        <f>IF(AND('Mapa final'!$Y$14="Muy Alta",'Mapa final'!$AA$14="Catastrófico"),CONCATENATE("R3C",'Mapa final'!$O$14),"")</f>
        <v/>
      </c>
      <c r="AM8" s="48" t="str">
        <f>IF(AND('Mapa final'!$Y$15="Muy Alta",'Mapa final'!$AA$15="Catastrófico"),CONCATENATE("R3C",'Mapa final'!$O$15),"")</f>
        <v/>
      </c>
      <c r="AN8" s="74"/>
      <c r="AO8" s="342"/>
      <c r="AP8" s="343"/>
      <c r="AQ8" s="343"/>
      <c r="AR8" s="343"/>
      <c r="AS8" s="343"/>
      <c r="AT8" s="34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row>
    <row r="9" spans="1:91" ht="15" customHeight="1" x14ac:dyDescent="0.25">
      <c r="A9" s="74"/>
      <c r="B9" s="237"/>
      <c r="C9" s="237"/>
      <c r="D9" s="238"/>
      <c r="E9" s="336"/>
      <c r="F9" s="335"/>
      <c r="G9" s="335"/>
      <c r="H9" s="335"/>
      <c r="I9" s="351"/>
      <c r="J9" s="43" t="str">
        <f ca="1">IF(AND('Mapa final'!$Y$16="Muy Alta",'Mapa final'!$AA$16="Leve"),CONCATENATE("R4C",'Mapa final'!$O$16),"")</f>
        <v/>
      </c>
      <c r="K9" s="44" t="str">
        <f ca="1">IF(AND('Mapa final'!$Y$17="Muy Alta",'Mapa final'!$AA$17="Leve"),CONCATENATE("R4C",'Mapa final'!$O$17),"")</f>
        <v/>
      </c>
      <c r="L9" s="44" t="str">
        <f ca="1">IF(AND('Mapa final'!$Y$18="Muy Alta",'Mapa final'!$AA$18="Leve"),CONCATENATE("R4C",'Mapa final'!$O$18),"")</f>
        <v/>
      </c>
      <c r="M9" s="44" t="str">
        <f>IF(AND('Mapa final'!$Y$19="Muy Alta",'Mapa final'!$AA$19="Leve"),CONCATENATE("R4C",'Mapa final'!$O$19),"")</f>
        <v/>
      </c>
      <c r="N9" s="44" t="str">
        <f>IF(AND('Mapa final'!$Y$20="Muy Alta",'Mapa final'!$AA$20="Leve"),CONCATENATE("R4C",'Mapa final'!$O$20),"")</f>
        <v/>
      </c>
      <c r="O9" s="45" t="str">
        <f>IF(AND('Mapa final'!$Y$21="Muy Alta",'Mapa final'!$AA$21="Leve"),CONCATENATE("R4C",'Mapa final'!$O$21),"")</f>
        <v/>
      </c>
      <c r="P9" s="43" t="str">
        <f ca="1">IF(AND('Mapa final'!$Y$16="Muy Alta",'Mapa final'!$AA$16="Menor"),CONCATENATE("R4C",'Mapa final'!$O$16),"")</f>
        <v/>
      </c>
      <c r="Q9" s="44" t="str">
        <f ca="1">IF(AND('Mapa final'!$Y$17="Muy Alta",'Mapa final'!$AA$17="Menor"),CONCATENATE("R4C",'Mapa final'!$O$17),"")</f>
        <v/>
      </c>
      <c r="R9" s="44" t="str">
        <f ca="1">IF(AND('Mapa final'!$Y$18="Muy Alta",'Mapa final'!$AA$18="Menor"),CONCATENATE("R4C",'Mapa final'!$O$18),"")</f>
        <v/>
      </c>
      <c r="S9" s="44" t="str">
        <f>IF(AND('Mapa final'!$Y$19="Muy Alta",'Mapa final'!$AA$19="Menor"),CONCATENATE("R4C",'Mapa final'!$O$19),"")</f>
        <v/>
      </c>
      <c r="T9" s="44" t="str">
        <f>IF(AND('Mapa final'!$Y$20="Muy Alta",'Mapa final'!$AA$20="Menor"),CONCATENATE("R4C",'Mapa final'!$O$20),"")</f>
        <v/>
      </c>
      <c r="U9" s="45" t="str">
        <f>IF(AND('Mapa final'!$Y$21="Muy Alta",'Mapa final'!$AA$21="Menor"),CONCATENATE("R4C",'Mapa final'!$O$21),"")</f>
        <v/>
      </c>
      <c r="V9" s="43" t="str">
        <f ca="1">IF(AND('Mapa final'!$Y$16="Muy Alta",'Mapa final'!$AA$16="Moderado"),CONCATENATE("R4C",'Mapa final'!$O$16),"")</f>
        <v/>
      </c>
      <c r="W9" s="44" t="str">
        <f ca="1">IF(AND('Mapa final'!$Y$17="Muy Alta",'Mapa final'!$AA$17="Moderado"),CONCATENATE("R4C",'Mapa final'!$O$17),"")</f>
        <v/>
      </c>
      <c r="X9" s="44" t="str">
        <f ca="1">IF(AND('Mapa final'!$Y$18="Muy Alta",'Mapa final'!$AA$18="Moderado"),CONCATENATE("R4C",'Mapa final'!$O$18),"")</f>
        <v/>
      </c>
      <c r="Y9" s="44" t="str">
        <f>IF(AND('Mapa final'!$Y$19="Muy Alta",'Mapa final'!$AA$19="Moderado"),CONCATENATE("R4C",'Mapa final'!$O$19),"")</f>
        <v/>
      </c>
      <c r="Z9" s="44" t="str">
        <f>IF(AND('Mapa final'!$Y$20="Muy Alta",'Mapa final'!$AA$20="Moderado"),CONCATENATE("R4C",'Mapa final'!$O$20),"")</f>
        <v/>
      </c>
      <c r="AA9" s="45" t="str">
        <f>IF(AND('Mapa final'!$Y$21="Muy Alta",'Mapa final'!$AA$21="Moderado"),CONCATENATE("R4C",'Mapa final'!$O$21),"")</f>
        <v/>
      </c>
      <c r="AB9" s="43" t="str">
        <f ca="1">IF(AND('Mapa final'!$Y$16="Muy Alta",'Mapa final'!$AA$16="Mayor"),CONCATENATE("R4C",'Mapa final'!$O$16),"")</f>
        <v/>
      </c>
      <c r="AC9" s="44" t="str">
        <f ca="1">IF(AND('Mapa final'!$Y$17="Muy Alta",'Mapa final'!$AA$17="Mayor"),CONCATENATE("R4C",'Mapa final'!$O$17),"")</f>
        <v/>
      </c>
      <c r="AD9" s="44" t="str">
        <f ca="1">IF(AND('Mapa final'!$Y$18="Muy Alta",'Mapa final'!$AA$18="Mayor"),CONCATENATE("R4C",'Mapa final'!$O$18),"")</f>
        <v/>
      </c>
      <c r="AE9" s="44" t="str">
        <f>IF(AND('Mapa final'!$Y$19="Muy Alta",'Mapa final'!$AA$19="Mayor"),CONCATENATE("R4C",'Mapa final'!$O$19),"")</f>
        <v/>
      </c>
      <c r="AF9" s="44" t="str">
        <f>IF(AND('Mapa final'!$Y$20="Muy Alta",'Mapa final'!$AA$20="Mayor"),CONCATENATE("R4C",'Mapa final'!$O$20),"")</f>
        <v/>
      </c>
      <c r="AG9" s="45" t="str">
        <f>IF(AND('Mapa final'!$Y$21="Muy Alta",'Mapa final'!$AA$21="Mayor"),CONCATENATE("R4C",'Mapa final'!$O$21),"")</f>
        <v/>
      </c>
      <c r="AH9" s="46" t="str">
        <f ca="1">IF(AND('Mapa final'!$Y$16="Muy Alta",'Mapa final'!$AA$16="Catastrófico"),CONCATENATE("R4C",'Mapa final'!$O$16),"")</f>
        <v/>
      </c>
      <c r="AI9" s="47" t="str">
        <f ca="1">IF(AND('Mapa final'!$Y$17="Muy Alta",'Mapa final'!$AA$17="Catastrófico"),CONCATENATE("R4C",'Mapa final'!$O$17),"")</f>
        <v/>
      </c>
      <c r="AJ9" s="47" t="str">
        <f ca="1">IF(AND('Mapa final'!$Y$18="Muy Alta",'Mapa final'!$AA$18="Catastrófico"),CONCATENATE("R4C",'Mapa final'!$O$18),"")</f>
        <v/>
      </c>
      <c r="AK9" s="47" t="str">
        <f>IF(AND('Mapa final'!$Y$19="Muy Alta",'Mapa final'!$AA$19="Catastrófico"),CONCATENATE("R4C",'Mapa final'!$O$19),"")</f>
        <v/>
      </c>
      <c r="AL9" s="47" t="str">
        <f>IF(AND('Mapa final'!$Y$20="Muy Alta",'Mapa final'!$AA$20="Catastrófico"),CONCATENATE("R4C",'Mapa final'!$O$20),"")</f>
        <v/>
      </c>
      <c r="AM9" s="48" t="str">
        <f>IF(AND('Mapa final'!$Y$21="Muy Alta",'Mapa final'!$AA$21="Catastrófico"),CONCATENATE("R4C",'Mapa final'!$O$21),"")</f>
        <v/>
      </c>
      <c r="AN9" s="74"/>
      <c r="AO9" s="342"/>
      <c r="AP9" s="343"/>
      <c r="AQ9" s="343"/>
      <c r="AR9" s="343"/>
      <c r="AS9" s="343"/>
      <c r="AT9" s="34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row>
    <row r="10" spans="1:91" ht="15" customHeight="1" x14ac:dyDescent="0.25">
      <c r="A10" s="74"/>
      <c r="B10" s="237"/>
      <c r="C10" s="237"/>
      <c r="D10" s="238"/>
      <c r="E10" s="336"/>
      <c r="F10" s="335"/>
      <c r="G10" s="335"/>
      <c r="H10" s="335"/>
      <c r="I10" s="351"/>
      <c r="J10" s="43" t="str">
        <f ca="1">IF(AND('Mapa final'!$Y$22="Muy Alta",'Mapa final'!$AA$22="Leve"),CONCATENATE("R5C",'Mapa final'!$O$22),"")</f>
        <v/>
      </c>
      <c r="K10" s="44" t="str">
        <f ca="1">IF(AND('Mapa final'!$Y$23="Muy Alta",'Mapa final'!$AA$23="Leve"),CONCATENATE("R5C",'Mapa final'!$O$23),"")</f>
        <v/>
      </c>
      <c r="L10" s="44" t="str">
        <f ca="1">IF(AND('Mapa final'!$Y$24="Muy Alta",'Mapa final'!$AA$24="Leve"),CONCATENATE("R5C",'Mapa final'!$O$24),"")</f>
        <v/>
      </c>
      <c r="M10" s="44" t="str">
        <f>IF(AND('Mapa final'!$Y$25="Muy Alta",'Mapa final'!$AA$25="Leve"),CONCATENATE("R5C",'Mapa final'!$O$25),"")</f>
        <v/>
      </c>
      <c r="N10" s="44" t="str">
        <f>IF(AND('Mapa final'!$Y$26="Muy Alta",'Mapa final'!$AA$26="Leve"),CONCATENATE("R5C",'Mapa final'!$O$26),"")</f>
        <v/>
      </c>
      <c r="O10" s="45" t="str">
        <f>IF(AND('Mapa final'!$Y$27="Muy Alta",'Mapa final'!$AA$27="Leve"),CONCATENATE("R5C",'Mapa final'!$O$27),"")</f>
        <v/>
      </c>
      <c r="P10" s="43" t="str">
        <f ca="1">IF(AND('Mapa final'!$Y$22="Muy Alta",'Mapa final'!$AA$22="Menor"),CONCATENATE("R5C",'Mapa final'!$O$22),"")</f>
        <v/>
      </c>
      <c r="Q10" s="44" t="str">
        <f ca="1">IF(AND('Mapa final'!$Y$23="Muy Alta",'Mapa final'!$AA$23="Menor"),CONCATENATE("R5C",'Mapa final'!$O$23),"")</f>
        <v/>
      </c>
      <c r="R10" s="44" t="str">
        <f ca="1">IF(AND('Mapa final'!$Y$24="Muy Alta",'Mapa final'!$AA$24="Menor"),CONCATENATE("R5C",'Mapa final'!$O$24),"")</f>
        <v/>
      </c>
      <c r="S10" s="44" t="str">
        <f>IF(AND('Mapa final'!$Y$25="Muy Alta",'Mapa final'!$AA$25="Menor"),CONCATENATE("R5C",'Mapa final'!$O$25),"")</f>
        <v/>
      </c>
      <c r="T10" s="44" t="str">
        <f>IF(AND('Mapa final'!$Y$26="Muy Alta",'Mapa final'!$AA$26="Menor"),CONCATENATE("R5C",'Mapa final'!$O$26),"")</f>
        <v/>
      </c>
      <c r="U10" s="45" t="str">
        <f>IF(AND('Mapa final'!$Y$27="Muy Alta",'Mapa final'!$AA$27="Menor"),CONCATENATE("R5C",'Mapa final'!$O$27),"")</f>
        <v/>
      </c>
      <c r="V10" s="43" t="str">
        <f ca="1">IF(AND('Mapa final'!$Y$22="Muy Alta",'Mapa final'!$AA$22="Moderado"),CONCATENATE("R5C",'Mapa final'!$O$22),"")</f>
        <v/>
      </c>
      <c r="W10" s="44" t="str">
        <f ca="1">IF(AND('Mapa final'!$Y$23="Muy Alta",'Mapa final'!$AA$23="Moderado"),CONCATENATE("R5C",'Mapa final'!$O$23),"")</f>
        <v/>
      </c>
      <c r="X10" s="44" t="str">
        <f ca="1">IF(AND('Mapa final'!$Y$24="Muy Alta",'Mapa final'!$AA$24="Moderado"),CONCATENATE("R5C",'Mapa final'!$O$24),"")</f>
        <v/>
      </c>
      <c r="Y10" s="44" t="str">
        <f>IF(AND('Mapa final'!$Y$25="Muy Alta",'Mapa final'!$AA$25="Moderado"),CONCATENATE("R5C",'Mapa final'!$O$25),"")</f>
        <v/>
      </c>
      <c r="Z10" s="44" t="str">
        <f>IF(AND('Mapa final'!$Y$26="Muy Alta",'Mapa final'!$AA$26="Moderado"),CONCATENATE("R5C",'Mapa final'!$O$26),"")</f>
        <v/>
      </c>
      <c r="AA10" s="45" t="str">
        <f>IF(AND('Mapa final'!$Y$27="Muy Alta",'Mapa final'!$AA$27="Moderado"),CONCATENATE("R5C",'Mapa final'!$O$27),"")</f>
        <v/>
      </c>
      <c r="AB10" s="43" t="str">
        <f ca="1">IF(AND('Mapa final'!$Y$22="Muy Alta",'Mapa final'!$AA$22="Mayor"),CONCATENATE("R5C",'Mapa final'!$O$22),"")</f>
        <v/>
      </c>
      <c r="AC10" s="44" t="str">
        <f ca="1">IF(AND('Mapa final'!$Y$23="Muy Alta",'Mapa final'!$AA$23="Mayor"),CONCATENATE("R5C",'Mapa final'!$O$23),"")</f>
        <v/>
      </c>
      <c r="AD10" s="44" t="str">
        <f ca="1">IF(AND('Mapa final'!$Y$24="Muy Alta",'Mapa final'!$AA$24="Mayor"),CONCATENATE("R5C",'Mapa final'!$O$24),"")</f>
        <v/>
      </c>
      <c r="AE10" s="44" t="str">
        <f>IF(AND('Mapa final'!$Y$25="Muy Alta",'Mapa final'!$AA$25="Mayor"),CONCATENATE("R5C",'Mapa final'!$O$25),"")</f>
        <v/>
      </c>
      <c r="AF10" s="44" t="str">
        <f>IF(AND('Mapa final'!$Y$26="Muy Alta",'Mapa final'!$AA$26="Mayor"),CONCATENATE("R5C",'Mapa final'!$O$26),"")</f>
        <v/>
      </c>
      <c r="AG10" s="45" t="str">
        <f>IF(AND('Mapa final'!$Y$27="Muy Alta",'Mapa final'!$AA$27="Mayor"),CONCATENATE("R5C",'Mapa final'!$O$27),"")</f>
        <v/>
      </c>
      <c r="AH10" s="46" t="str">
        <f ca="1">IF(AND('Mapa final'!$Y$22="Muy Alta",'Mapa final'!$AA$22="Catastrófico"),CONCATENATE("R5C",'Mapa final'!$O$22),"")</f>
        <v/>
      </c>
      <c r="AI10" s="47" t="str">
        <f ca="1">IF(AND('Mapa final'!$Y$23="Muy Alta",'Mapa final'!$AA$23="Catastrófico"),CONCATENATE("R5C",'Mapa final'!$O$23),"")</f>
        <v/>
      </c>
      <c r="AJ10" s="47" t="str">
        <f ca="1">IF(AND('Mapa final'!$Y$24="Muy Alta",'Mapa final'!$AA$24="Catastrófico"),CONCATENATE("R5C",'Mapa final'!$O$24),"")</f>
        <v/>
      </c>
      <c r="AK10" s="47" t="str">
        <f>IF(AND('Mapa final'!$Y$25="Muy Alta",'Mapa final'!$AA$25="Catastrófico"),CONCATENATE("R5C",'Mapa final'!$O$25),"")</f>
        <v/>
      </c>
      <c r="AL10" s="47" t="str">
        <f>IF(AND('Mapa final'!$Y$26="Muy Alta",'Mapa final'!$AA$26="Catastrófico"),CONCATENATE("R5C",'Mapa final'!$O$26),"")</f>
        <v/>
      </c>
      <c r="AM10" s="48" t="str">
        <f>IF(AND('Mapa final'!$Y$27="Muy Alta",'Mapa final'!$AA$27="Catastrófico"),CONCATENATE("R5C",'Mapa final'!$O$27),"")</f>
        <v/>
      </c>
      <c r="AN10" s="74"/>
      <c r="AO10" s="342"/>
      <c r="AP10" s="343"/>
      <c r="AQ10" s="343"/>
      <c r="AR10" s="343"/>
      <c r="AS10" s="343"/>
      <c r="AT10" s="34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row>
    <row r="11" spans="1:91" ht="15" customHeight="1" x14ac:dyDescent="0.25">
      <c r="A11" s="74"/>
      <c r="B11" s="237"/>
      <c r="C11" s="237"/>
      <c r="D11" s="238"/>
      <c r="E11" s="336"/>
      <c r="F11" s="335"/>
      <c r="G11" s="335"/>
      <c r="H11" s="335"/>
      <c r="I11" s="351"/>
      <c r="J11" s="43" t="str">
        <f ca="1">IF(AND('Mapa final'!$Y$28="Muy Alta",'Mapa final'!$AA$28="Leve"),CONCATENATE("R6C",'Mapa final'!$O$28),"")</f>
        <v/>
      </c>
      <c r="K11" s="44" t="str">
        <f ca="1">IF(AND('Mapa final'!$Y$29="Muy Alta",'Mapa final'!$AA$29="Leve"),CONCATENATE("R6C",'Mapa final'!$O$29),"")</f>
        <v/>
      </c>
      <c r="L11" s="44" t="str">
        <f ca="1">IF(AND('Mapa final'!$Y$30="Muy Alta",'Mapa final'!$AA$30="Leve"),CONCATENATE("R6C",'Mapa final'!$O$30),"")</f>
        <v/>
      </c>
      <c r="M11" s="44" t="str">
        <f>IF(AND('Mapa final'!$Y$31="Muy Alta",'Mapa final'!$AA$31="Leve"),CONCATENATE("R6C",'Mapa final'!$O$31),"")</f>
        <v/>
      </c>
      <c r="N11" s="44" t="str">
        <f>IF(AND('Mapa final'!$Y$32="Muy Alta",'Mapa final'!$AA$32="Leve"),CONCATENATE("R6C",'Mapa final'!$O$32),"")</f>
        <v/>
      </c>
      <c r="O11" s="45" t="str">
        <f>IF(AND('Mapa final'!$Y$33="Muy Alta",'Mapa final'!$AA$33="Leve"),CONCATENATE("R6C",'Mapa final'!$O$33),"")</f>
        <v/>
      </c>
      <c r="P11" s="43" t="str">
        <f ca="1">IF(AND('Mapa final'!$Y$28="Muy Alta",'Mapa final'!$AA$28="Menor"),CONCATENATE("R6C",'Mapa final'!$O$28),"")</f>
        <v/>
      </c>
      <c r="Q11" s="44" t="str">
        <f ca="1">IF(AND('Mapa final'!$Y$29="Muy Alta",'Mapa final'!$AA$29="Menor"),CONCATENATE("R6C",'Mapa final'!$O$29),"")</f>
        <v/>
      </c>
      <c r="R11" s="44" t="str">
        <f ca="1">IF(AND('Mapa final'!$Y$30="Muy Alta",'Mapa final'!$AA$30="Menor"),CONCATENATE("R6C",'Mapa final'!$O$30),"")</f>
        <v/>
      </c>
      <c r="S11" s="44" t="str">
        <f>IF(AND('Mapa final'!$Y$31="Muy Alta",'Mapa final'!$AA$31="Menor"),CONCATENATE("R6C",'Mapa final'!$O$31),"")</f>
        <v/>
      </c>
      <c r="T11" s="44" t="str">
        <f>IF(AND('Mapa final'!$Y$32="Muy Alta",'Mapa final'!$AA$32="Menor"),CONCATENATE("R6C",'Mapa final'!$O$32),"")</f>
        <v/>
      </c>
      <c r="U11" s="45" t="str">
        <f>IF(AND('Mapa final'!$Y$33="Muy Alta",'Mapa final'!$AA$33="Menor"),CONCATENATE("R6C",'Mapa final'!$O$33),"")</f>
        <v/>
      </c>
      <c r="V11" s="43" t="str">
        <f ca="1">IF(AND('Mapa final'!$Y$28="Muy Alta",'Mapa final'!$AA$28="Moderado"),CONCATENATE("R6C",'Mapa final'!$O$28),"")</f>
        <v/>
      </c>
      <c r="W11" s="44" t="str">
        <f ca="1">IF(AND('Mapa final'!$Y$29="Muy Alta",'Mapa final'!$AA$29="Moderado"),CONCATENATE("R6C",'Mapa final'!$O$29),"")</f>
        <v/>
      </c>
      <c r="X11" s="44" t="str">
        <f ca="1">IF(AND('Mapa final'!$Y$30="Muy Alta",'Mapa final'!$AA$30="Moderado"),CONCATENATE("R6C",'Mapa final'!$O$30),"")</f>
        <v/>
      </c>
      <c r="Y11" s="44" t="str">
        <f>IF(AND('Mapa final'!$Y$31="Muy Alta",'Mapa final'!$AA$31="Moderado"),CONCATENATE("R6C",'Mapa final'!$O$31),"")</f>
        <v/>
      </c>
      <c r="Z11" s="44" t="str">
        <f>IF(AND('Mapa final'!$Y$32="Muy Alta",'Mapa final'!$AA$32="Moderado"),CONCATENATE("R6C",'Mapa final'!$O$32),"")</f>
        <v/>
      </c>
      <c r="AA11" s="45" t="str">
        <f>IF(AND('Mapa final'!$Y$33="Muy Alta",'Mapa final'!$AA$33="Moderado"),CONCATENATE("R6C",'Mapa final'!$O$33),"")</f>
        <v/>
      </c>
      <c r="AB11" s="43" t="str">
        <f ca="1">IF(AND('Mapa final'!$Y$28="Muy Alta",'Mapa final'!$AA$28="Mayor"),CONCATENATE("R6C",'Mapa final'!$O$28),"")</f>
        <v/>
      </c>
      <c r="AC11" s="44" t="str">
        <f ca="1">IF(AND('Mapa final'!$Y$29="Muy Alta",'Mapa final'!$AA$29="Mayor"),CONCATENATE("R6C",'Mapa final'!$O$29),"")</f>
        <v/>
      </c>
      <c r="AD11" s="44" t="str">
        <f ca="1">IF(AND('Mapa final'!$Y$30="Muy Alta",'Mapa final'!$AA$30="Mayor"),CONCATENATE("R6C",'Mapa final'!$O$30),"")</f>
        <v/>
      </c>
      <c r="AE11" s="44" t="str">
        <f>IF(AND('Mapa final'!$Y$31="Muy Alta",'Mapa final'!$AA$31="Mayor"),CONCATENATE("R6C",'Mapa final'!$O$31),"")</f>
        <v/>
      </c>
      <c r="AF11" s="44" t="str">
        <f>IF(AND('Mapa final'!$Y$32="Muy Alta",'Mapa final'!$AA$32="Mayor"),CONCATENATE("R6C",'Mapa final'!$O$32),"")</f>
        <v/>
      </c>
      <c r="AG11" s="45" t="str">
        <f>IF(AND('Mapa final'!$Y$33="Muy Alta",'Mapa final'!$AA$33="Mayor"),CONCATENATE("R6C",'Mapa final'!$O$33),"")</f>
        <v/>
      </c>
      <c r="AH11" s="46" t="str">
        <f ca="1">IF(AND('Mapa final'!$Y$28="Muy Alta",'Mapa final'!$AA$28="Catastrófico"),CONCATENATE("R6C",'Mapa final'!$O$28),"")</f>
        <v/>
      </c>
      <c r="AI11" s="47" t="str">
        <f ca="1">IF(AND('Mapa final'!$Y$29="Muy Alta",'Mapa final'!$AA$29="Catastrófico"),CONCATENATE("R6C",'Mapa final'!$O$29),"")</f>
        <v/>
      </c>
      <c r="AJ11" s="47" t="str">
        <f ca="1">IF(AND('Mapa final'!$Y$30="Muy Alta",'Mapa final'!$AA$30="Catastrófico"),CONCATENATE("R6C",'Mapa final'!$O$30),"")</f>
        <v/>
      </c>
      <c r="AK11" s="47" t="str">
        <f>IF(AND('Mapa final'!$Y$31="Muy Alta",'Mapa final'!$AA$31="Catastrófico"),CONCATENATE("R6C",'Mapa final'!$O$31),"")</f>
        <v/>
      </c>
      <c r="AL11" s="47" t="str">
        <f>IF(AND('Mapa final'!$Y$32="Muy Alta",'Mapa final'!$AA$32="Catastrófico"),CONCATENATE("R6C",'Mapa final'!$O$32),"")</f>
        <v/>
      </c>
      <c r="AM11" s="48" t="str">
        <f>IF(AND('Mapa final'!$Y$33="Muy Alta",'Mapa final'!$AA$33="Catastrófico"),CONCATENATE("R6C",'Mapa final'!$O$33),"")</f>
        <v/>
      </c>
      <c r="AN11" s="74"/>
      <c r="AO11" s="342"/>
      <c r="AP11" s="343"/>
      <c r="AQ11" s="343"/>
      <c r="AR11" s="343"/>
      <c r="AS11" s="343"/>
      <c r="AT11" s="34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row>
    <row r="12" spans="1:91" ht="15" customHeight="1" x14ac:dyDescent="0.25">
      <c r="A12" s="74"/>
      <c r="B12" s="237"/>
      <c r="C12" s="237"/>
      <c r="D12" s="238"/>
      <c r="E12" s="336"/>
      <c r="F12" s="335"/>
      <c r="G12" s="335"/>
      <c r="H12" s="335"/>
      <c r="I12" s="351"/>
      <c r="J12" s="43" t="str">
        <f ca="1">IF(AND('Mapa final'!$Y$34="Muy Alta",'Mapa final'!$AA$34="Leve"),CONCATENATE("R7C",'Mapa final'!$O$34),"")</f>
        <v/>
      </c>
      <c r="K12" s="44" t="str">
        <f ca="1">IF(AND('Mapa final'!$Y$35="Muy Alta",'Mapa final'!$AA$35="Leve"),CONCATENATE("R7C",'Mapa final'!$O$35),"")</f>
        <v/>
      </c>
      <c r="L12" s="44" t="str">
        <f ca="1">IF(AND('Mapa final'!$Y$36="Muy Alta",'Mapa final'!$AA$36="Leve"),CONCATENATE("R7C",'Mapa final'!$O$36),"")</f>
        <v/>
      </c>
      <c r="M12" s="44" t="str">
        <f>IF(AND('Mapa final'!$Y$37="Muy Alta",'Mapa final'!$AA$37="Leve"),CONCATENATE("R7C",'Mapa final'!$O$37),"")</f>
        <v/>
      </c>
      <c r="N12" s="44" t="str">
        <f>IF(AND('Mapa final'!$Y$38="Muy Alta",'Mapa final'!$AA$38="Leve"),CONCATENATE("R7C",'Mapa final'!$O$38),"")</f>
        <v/>
      </c>
      <c r="O12" s="45" t="str">
        <f>IF(AND('Mapa final'!$Y$39="Muy Alta",'Mapa final'!$AA$39="Leve"),CONCATENATE("R7C",'Mapa final'!$O$39),"")</f>
        <v/>
      </c>
      <c r="P12" s="43" t="str">
        <f ca="1">IF(AND('Mapa final'!$Y$34="Muy Alta",'Mapa final'!$AA$34="Menor"),CONCATENATE("R7C",'Mapa final'!$O$34),"")</f>
        <v/>
      </c>
      <c r="Q12" s="44" t="str">
        <f ca="1">IF(AND('Mapa final'!$Y$35="Muy Alta",'Mapa final'!$AA$35="Menor"),CONCATENATE("R7C",'Mapa final'!$O$35),"")</f>
        <v/>
      </c>
      <c r="R12" s="44" t="str">
        <f ca="1">IF(AND('Mapa final'!$Y$36="Muy Alta",'Mapa final'!$AA$36="Menor"),CONCATENATE("R7C",'Mapa final'!$O$36),"")</f>
        <v/>
      </c>
      <c r="S12" s="44" t="str">
        <f>IF(AND('Mapa final'!$Y$37="Muy Alta",'Mapa final'!$AA$37="Menor"),CONCATENATE("R7C",'Mapa final'!$O$37),"")</f>
        <v/>
      </c>
      <c r="T12" s="44" t="str">
        <f>IF(AND('Mapa final'!$Y$38="Muy Alta",'Mapa final'!$AA$38="Menor"),CONCATENATE("R7C",'Mapa final'!$O$38),"")</f>
        <v/>
      </c>
      <c r="U12" s="45" t="str">
        <f>IF(AND('Mapa final'!$Y$39="Muy Alta",'Mapa final'!$AA$39="Menor"),CONCATENATE("R7C",'Mapa final'!$O$39),"")</f>
        <v/>
      </c>
      <c r="V12" s="43" t="str">
        <f ca="1">IF(AND('Mapa final'!$Y$34="Muy Alta",'Mapa final'!$AA$34="Moderado"),CONCATENATE("R7C",'Mapa final'!$O$34),"")</f>
        <v/>
      </c>
      <c r="W12" s="44" t="str">
        <f ca="1">IF(AND('Mapa final'!$Y$35="Muy Alta",'Mapa final'!$AA$35="Moderado"),CONCATENATE("R7C",'Mapa final'!$O$35),"")</f>
        <v/>
      </c>
      <c r="X12" s="44" t="str">
        <f ca="1">IF(AND('Mapa final'!$Y$36="Muy Alta",'Mapa final'!$AA$36="Moderado"),CONCATENATE("R7C",'Mapa final'!$O$36),"")</f>
        <v/>
      </c>
      <c r="Y12" s="44" t="str">
        <f>IF(AND('Mapa final'!$Y$37="Muy Alta",'Mapa final'!$AA$37="Moderado"),CONCATENATE("R7C",'Mapa final'!$O$37),"")</f>
        <v/>
      </c>
      <c r="Z12" s="44" t="str">
        <f>IF(AND('Mapa final'!$Y$38="Muy Alta",'Mapa final'!$AA$38="Moderado"),CONCATENATE("R7C",'Mapa final'!$O$38),"")</f>
        <v/>
      </c>
      <c r="AA12" s="45" t="str">
        <f>IF(AND('Mapa final'!$Y$39="Muy Alta",'Mapa final'!$AA$39="Moderado"),CONCATENATE("R7C",'Mapa final'!$O$39),"")</f>
        <v/>
      </c>
      <c r="AB12" s="43" t="str">
        <f ca="1">IF(AND('Mapa final'!$Y$34="Muy Alta",'Mapa final'!$AA$34="Mayor"),CONCATENATE("R7C",'Mapa final'!$O$34),"")</f>
        <v/>
      </c>
      <c r="AC12" s="44" t="str">
        <f ca="1">IF(AND('Mapa final'!$Y$35="Muy Alta",'Mapa final'!$AA$35="Mayor"),CONCATENATE("R7C",'Mapa final'!$O$35),"")</f>
        <v/>
      </c>
      <c r="AD12" s="44" t="str">
        <f ca="1">IF(AND('Mapa final'!$Y$36="Muy Alta",'Mapa final'!$AA$36="Mayor"),CONCATENATE("R7C",'Mapa final'!$O$36),"")</f>
        <v/>
      </c>
      <c r="AE12" s="44" t="str">
        <f>IF(AND('Mapa final'!$Y$37="Muy Alta",'Mapa final'!$AA$37="Mayor"),CONCATENATE("R7C",'Mapa final'!$O$37),"")</f>
        <v/>
      </c>
      <c r="AF12" s="44" t="str">
        <f>IF(AND('Mapa final'!$Y$38="Muy Alta",'Mapa final'!$AA$38="Mayor"),CONCATENATE("R7C",'Mapa final'!$O$38),"")</f>
        <v/>
      </c>
      <c r="AG12" s="45" t="str">
        <f>IF(AND('Mapa final'!$Y$39="Muy Alta",'Mapa final'!$AA$39="Mayor"),CONCATENATE("R7C",'Mapa final'!$O$39),"")</f>
        <v/>
      </c>
      <c r="AH12" s="46" t="str">
        <f ca="1">IF(AND('Mapa final'!$Y$34="Muy Alta",'Mapa final'!$AA$34="Catastrófico"),CONCATENATE("R7C",'Mapa final'!$O$34),"")</f>
        <v/>
      </c>
      <c r="AI12" s="47" t="str">
        <f ca="1">IF(AND('Mapa final'!$Y$35="Muy Alta",'Mapa final'!$AA$35="Catastrófico"),CONCATENATE("R7C",'Mapa final'!$O$35),"")</f>
        <v/>
      </c>
      <c r="AJ12" s="47" t="str">
        <f ca="1">IF(AND('Mapa final'!$Y$36="Muy Alta",'Mapa final'!$AA$36="Catastrófico"),CONCATENATE("R7C",'Mapa final'!$O$36),"")</f>
        <v/>
      </c>
      <c r="AK12" s="47" t="str">
        <f>IF(AND('Mapa final'!$Y$37="Muy Alta",'Mapa final'!$AA$37="Catastrófico"),CONCATENATE("R7C",'Mapa final'!$O$37),"")</f>
        <v/>
      </c>
      <c r="AL12" s="47" t="str">
        <f>IF(AND('Mapa final'!$Y$38="Muy Alta",'Mapa final'!$AA$38="Catastrófico"),CONCATENATE("R7C",'Mapa final'!$O$38),"")</f>
        <v/>
      </c>
      <c r="AM12" s="48" t="str">
        <f>IF(AND('Mapa final'!$Y$39="Muy Alta",'Mapa final'!$AA$39="Catastrófico"),CONCATENATE("R7C",'Mapa final'!$O$39),"")</f>
        <v/>
      </c>
      <c r="AN12" s="74"/>
      <c r="AO12" s="342"/>
      <c r="AP12" s="343"/>
      <c r="AQ12" s="343"/>
      <c r="AR12" s="343"/>
      <c r="AS12" s="343"/>
      <c r="AT12" s="34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row>
    <row r="13" spans="1:91" ht="15" customHeight="1" x14ac:dyDescent="0.25">
      <c r="A13" s="74"/>
      <c r="B13" s="237"/>
      <c r="C13" s="237"/>
      <c r="D13" s="238"/>
      <c r="E13" s="336"/>
      <c r="F13" s="335"/>
      <c r="G13" s="335"/>
      <c r="H13" s="335"/>
      <c r="I13" s="351"/>
      <c r="J13" s="43" t="str">
        <f ca="1">IF(AND('Mapa final'!$Y$40="Muy Alta",'Mapa final'!$AA$40="Leve"),CONCATENATE("R8C",'Mapa final'!$O$40),"")</f>
        <v/>
      </c>
      <c r="K13" s="44" t="str">
        <f>IF(AND('Mapa final'!$Y$41="Muy Alta",'Mapa final'!$AA$41="Leve"),CONCATENATE("R8C",'Mapa final'!$O$41),"")</f>
        <v/>
      </c>
      <c r="L13" s="44" t="str">
        <f>IF(AND('Mapa final'!$Y$42="Muy Alta",'Mapa final'!$AA$42="Leve"),CONCATENATE("R8C",'Mapa final'!$O$42),"")</f>
        <v/>
      </c>
      <c r="M13" s="44" t="str">
        <f>IF(AND('Mapa final'!$Y$43="Muy Alta",'Mapa final'!$AA$43="Leve"),CONCATENATE("R8C",'Mapa final'!$O$43),"")</f>
        <v/>
      </c>
      <c r="N13" s="44" t="str">
        <f>IF(AND('Mapa final'!$Y$44="Muy Alta",'Mapa final'!$AA$44="Leve"),CONCATENATE("R8C",'Mapa final'!$O$44),"")</f>
        <v/>
      </c>
      <c r="O13" s="45" t="str">
        <f>IF(AND('Mapa final'!$Y$45="Muy Alta",'Mapa final'!$AA$45="Leve"),CONCATENATE("R8C",'Mapa final'!$O$45),"")</f>
        <v/>
      </c>
      <c r="P13" s="43" t="str">
        <f ca="1">IF(AND('Mapa final'!$Y$40="Muy Alta",'Mapa final'!$AA$40="Menor"),CONCATENATE("R8C",'Mapa final'!$O$40),"")</f>
        <v/>
      </c>
      <c r="Q13" s="44" t="str">
        <f>IF(AND('Mapa final'!$Y$41="Muy Alta",'Mapa final'!$AA$41="Menor"),CONCATENATE("R8C",'Mapa final'!$O$41),"")</f>
        <v/>
      </c>
      <c r="R13" s="44" t="str">
        <f>IF(AND('Mapa final'!$Y$42="Muy Alta",'Mapa final'!$AA$42="Menor"),CONCATENATE("R8C",'Mapa final'!$O$42),"")</f>
        <v/>
      </c>
      <c r="S13" s="44" t="str">
        <f>IF(AND('Mapa final'!$Y$43="Muy Alta",'Mapa final'!$AA$43="Menor"),CONCATENATE("R8C",'Mapa final'!$O$43),"")</f>
        <v/>
      </c>
      <c r="T13" s="44" t="str">
        <f>IF(AND('Mapa final'!$Y$44="Muy Alta",'Mapa final'!$AA$44="Menor"),CONCATENATE("R8C",'Mapa final'!$O$44),"")</f>
        <v/>
      </c>
      <c r="U13" s="45" t="str">
        <f>IF(AND('Mapa final'!$Y$45="Muy Alta",'Mapa final'!$AA$45="Menor"),CONCATENATE("R8C",'Mapa final'!$O$45),"")</f>
        <v/>
      </c>
      <c r="V13" s="43" t="str">
        <f ca="1">IF(AND('Mapa final'!$Y$40="Muy Alta",'Mapa final'!$AA$40="Moderado"),CONCATENATE("R8C",'Mapa final'!$O$40),"")</f>
        <v/>
      </c>
      <c r="W13" s="44" t="str">
        <f>IF(AND('Mapa final'!$Y$41="Muy Alta",'Mapa final'!$AA$41="Moderado"),CONCATENATE("R8C",'Mapa final'!$O$41),"")</f>
        <v/>
      </c>
      <c r="X13" s="44" t="str">
        <f>IF(AND('Mapa final'!$Y$42="Muy Alta",'Mapa final'!$AA$42="Moderado"),CONCATENATE("R8C",'Mapa final'!$O$42),"")</f>
        <v/>
      </c>
      <c r="Y13" s="44" t="str">
        <f>IF(AND('Mapa final'!$Y$43="Muy Alta",'Mapa final'!$AA$43="Moderado"),CONCATENATE("R8C",'Mapa final'!$O$43),"")</f>
        <v/>
      </c>
      <c r="Z13" s="44" t="str">
        <f>IF(AND('Mapa final'!$Y$44="Muy Alta",'Mapa final'!$AA$44="Moderado"),CONCATENATE("R8C",'Mapa final'!$O$44),"")</f>
        <v/>
      </c>
      <c r="AA13" s="45" t="str">
        <f>IF(AND('Mapa final'!$Y$45="Muy Alta",'Mapa final'!$AA$45="Moderado"),CONCATENATE("R8C",'Mapa final'!$O$45),"")</f>
        <v/>
      </c>
      <c r="AB13" s="43" t="str">
        <f ca="1">IF(AND('Mapa final'!$Y$40="Muy Alta",'Mapa final'!$AA$40="Mayor"),CONCATENATE("R8C",'Mapa final'!$O$40),"")</f>
        <v/>
      </c>
      <c r="AC13" s="44" t="str">
        <f>IF(AND('Mapa final'!$Y$41="Muy Alta",'Mapa final'!$AA$41="Mayor"),CONCATENATE("R8C",'Mapa final'!$O$41),"")</f>
        <v/>
      </c>
      <c r="AD13" s="44" t="str">
        <f>IF(AND('Mapa final'!$Y$42="Muy Alta",'Mapa final'!$AA$42="Mayor"),CONCATENATE("R8C",'Mapa final'!$O$42),"")</f>
        <v/>
      </c>
      <c r="AE13" s="44" t="str">
        <f>IF(AND('Mapa final'!$Y$43="Muy Alta",'Mapa final'!$AA$43="Mayor"),CONCATENATE("R8C",'Mapa final'!$O$43),"")</f>
        <v/>
      </c>
      <c r="AF13" s="44" t="str">
        <f>IF(AND('Mapa final'!$Y$44="Muy Alta",'Mapa final'!$AA$44="Mayor"),CONCATENATE("R8C",'Mapa final'!$O$44),"")</f>
        <v/>
      </c>
      <c r="AG13" s="45" t="str">
        <f>IF(AND('Mapa final'!$Y$45="Muy Alta",'Mapa final'!$AA$45="Mayor"),CONCATENATE("R8C",'Mapa final'!$O$45),"")</f>
        <v/>
      </c>
      <c r="AH13" s="46" t="str">
        <f ca="1">IF(AND('Mapa final'!$Y$40="Muy Alta",'Mapa final'!$AA$40="Catastrófico"),CONCATENATE("R8C",'Mapa final'!$O$40),"")</f>
        <v/>
      </c>
      <c r="AI13" s="47" t="str">
        <f>IF(AND('Mapa final'!$Y$41="Muy Alta",'Mapa final'!$AA$41="Catastrófico"),CONCATENATE("R8C",'Mapa final'!$O$41),"")</f>
        <v/>
      </c>
      <c r="AJ13" s="47" t="str">
        <f>IF(AND('Mapa final'!$Y$42="Muy Alta",'Mapa final'!$AA$42="Catastrófico"),CONCATENATE("R8C",'Mapa final'!$O$42),"")</f>
        <v/>
      </c>
      <c r="AK13" s="47" t="str">
        <f>IF(AND('Mapa final'!$Y$43="Muy Alta",'Mapa final'!$AA$43="Catastrófico"),CONCATENATE("R8C",'Mapa final'!$O$43),"")</f>
        <v/>
      </c>
      <c r="AL13" s="47" t="str">
        <f>IF(AND('Mapa final'!$Y$44="Muy Alta",'Mapa final'!$AA$44="Catastrófico"),CONCATENATE("R8C",'Mapa final'!$O$44),"")</f>
        <v/>
      </c>
      <c r="AM13" s="48" t="str">
        <f>IF(AND('Mapa final'!$Y$45="Muy Alta",'Mapa final'!$AA$45="Catastrófico"),CONCATENATE("R8C",'Mapa final'!$O$45),"")</f>
        <v/>
      </c>
      <c r="AN13" s="74"/>
      <c r="AO13" s="342"/>
      <c r="AP13" s="343"/>
      <c r="AQ13" s="343"/>
      <c r="AR13" s="343"/>
      <c r="AS13" s="343"/>
      <c r="AT13" s="34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row>
    <row r="14" spans="1:91" ht="15" customHeight="1" x14ac:dyDescent="0.25">
      <c r="A14" s="74"/>
      <c r="B14" s="237"/>
      <c r="C14" s="237"/>
      <c r="D14" s="238"/>
      <c r="E14" s="336"/>
      <c r="F14" s="335"/>
      <c r="G14" s="335"/>
      <c r="H14" s="335"/>
      <c r="I14" s="351"/>
      <c r="J14" s="43" t="str">
        <f>IF(AND('Mapa final'!$Y$46="Muy Alta",'Mapa final'!$AA$46="Leve"),CONCATENATE("R9C",'Mapa final'!$O$46),"")</f>
        <v/>
      </c>
      <c r="K14" s="44" t="str">
        <f>IF(AND('Mapa final'!$Y$47="Muy Alta",'Mapa final'!$AA$47="Leve"),CONCATENATE("R9C",'Mapa final'!$O$47),"")</f>
        <v/>
      </c>
      <c r="L14" s="44" t="str">
        <f>IF(AND('Mapa final'!$Y$48="Muy Alta",'Mapa final'!$AA$48="Leve"),CONCATENATE("R9C",'Mapa final'!$O$48),"")</f>
        <v/>
      </c>
      <c r="M14" s="44" t="str">
        <f>IF(AND('Mapa final'!$Y$49="Muy Alta",'Mapa final'!$AA$49="Leve"),CONCATENATE("R9C",'Mapa final'!$O$49),"")</f>
        <v/>
      </c>
      <c r="N14" s="44" t="str">
        <f>IF(AND('Mapa final'!$Y$50="Muy Alta",'Mapa final'!$AA$50="Leve"),CONCATENATE("R9C",'Mapa final'!$O$50),"")</f>
        <v/>
      </c>
      <c r="O14" s="45" t="str">
        <f>IF(AND('Mapa final'!$Y$51="Muy Alta",'Mapa final'!$AA$51="Leve"),CONCATENATE("R9C",'Mapa final'!$O$51),"")</f>
        <v/>
      </c>
      <c r="P14" s="43" t="str">
        <f>IF(AND('Mapa final'!$Y$46="Muy Alta",'Mapa final'!$AA$46="Menor"),CONCATENATE("R9C",'Mapa final'!$O$46),"")</f>
        <v/>
      </c>
      <c r="Q14" s="44" t="str">
        <f>IF(AND('Mapa final'!$Y$47="Muy Alta",'Mapa final'!$AA$47="Menor"),CONCATENATE("R9C",'Mapa final'!$O$47),"")</f>
        <v/>
      </c>
      <c r="R14" s="44" t="str">
        <f>IF(AND('Mapa final'!$Y$48="Muy Alta",'Mapa final'!$AA$48="Menor"),CONCATENATE("R9C",'Mapa final'!$O$48),"")</f>
        <v/>
      </c>
      <c r="S14" s="44" t="str">
        <f>IF(AND('Mapa final'!$Y$49="Muy Alta",'Mapa final'!$AA$49="Menor"),CONCATENATE("R9C",'Mapa final'!$O$49),"")</f>
        <v/>
      </c>
      <c r="T14" s="44" t="str">
        <f>IF(AND('Mapa final'!$Y$50="Muy Alta",'Mapa final'!$AA$50="Menor"),CONCATENATE("R9C",'Mapa final'!$O$50),"")</f>
        <v/>
      </c>
      <c r="U14" s="45" t="str">
        <f>IF(AND('Mapa final'!$Y$51="Muy Alta",'Mapa final'!$AA$51="Menor"),CONCATENATE("R9C",'Mapa final'!$O$51),"")</f>
        <v/>
      </c>
      <c r="V14" s="43" t="str">
        <f>IF(AND('Mapa final'!$Y$46="Muy Alta",'Mapa final'!$AA$46="Moderado"),CONCATENATE("R9C",'Mapa final'!$O$46),"")</f>
        <v/>
      </c>
      <c r="W14" s="44" t="str">
        <f>IF(AND('Mapa final'!$Y$47="Muy Alta",'Mapa final'!$AA$47="Moderado"),CONCATENATE("R9C",'Mapa final'!$O$47),"")</f>
        <v/>
      </c>
      <c r="X14" s="44" t="str">
        <f>IF(AND('Mapa final'!$Y$48="Muy Alta",'Mapa final'!$AA$48="Moderado"),CONCATENATE("R9C",'Mapa final'!$O$48),"")</f>
        <v/>
      </c>
      <c r="Y14" s="44" t="str">
        <f>IF(AND('Mapa final'!$Y$49="Muy Alta",'Mapa final'!$AA$49="Moderado"),CONCATENATE("R9C",'Mapa final'!$O$49),"")</f>
        <v/>
      </c>
      <c r="Z14" s="44" t="str">
        <f>IF(AND('Mapa final'!$Y$50="Muy Alta",'Mapa final'!$AA$50="Moderado"),CONCATENATE("R9C",'Mapa final'!$O$50),"")</f>
        <v/>
      </c>
      <c r="AA14" s="45" t="str">
        <f>IF(AND('Mapa final'!$Y$51="Muy Alta",'Mapa final'!$AA$51="Moderado"),CONCATENATE("R9C",'Mapa final'!$O$51),"")</f>
        <v/>
      </c>
      <c r="AB14" s="43" t="str">
        <f>IF(AND('Mapa final'!$Y$46="Muy Alta",'Mapa final'!$AA$46="Mayor"),CONCATENATE("R9C",'Mapa final'!$O$46),"")</f>
        <v/>
      </c>
      <c r="AC14" s="44" t="str">
        <f>IF(AND('Mapa final'!$Y$47="Muy Alta",'Mapa final'!$AA$47="Mayor"),CONCATENATE("R9C",'Mapa final'!$O$47),"")</f>
        <v/>
      </c>
      <c r="AD14" s="44" t="str">
        <f>IF(AND('Mapa final'!$Y$48="Muy Alta",'Mapa final'!$AA$48="Mayor"),CONCATENATE("R9C",'Mapa final'!$O$48),"")</f>
        <v/>
      </c>
      <c r="AE14" s="44" t="str">
        <f>IF(AND('Mapa final'!$Y$49="Muy Alta",'Mapa final'!$AA$49="Mayor"),CONCATENATE("R9C",'Mapa final'!$O$49),"")</f>
        <v/>
      </c>
      <c r="AF14" s="44" t="str">
        <f>IF(AND('Mapa final'!$Y$50="Muy Alta",'Mapa final'!$AA$50="Mayor"),CONCATENATE("R9C",'Mapa final'!$O$50),"")</f>
        <v/>
      </c>
      <c r="AG14" s="45" t="str">
        <f>IF(AND('Mapa final'!$Y$51="Muy Alta",'Mapa final'!$AA$51="Mayor"),CONCATENATE("R9C",'Mapa final'!$O$51),"")</f>
        <v/>
      </c>
      <c r="AH14" s="46" t="str">
        <f>IF(AND('Mapa final'!$Y$46="Muy Alta",'Mapa final'!$AA$46="Catastrófico"),CONCATENATE("R9C",'Mapa final'!$O$46),"")</f>
        <v/>
      </c>
      <c r="AI14" s="47" t="str">
        <f>IF(AND('Mapa final'!$Y$47="Muy Alta",'Mapa final'!$AA$47="Catastrófico"),CONCATENATE("R9C",'Mapa final'!$O$47),"")</f>
        <v/>
      </c>
      <c r="AJ14" s="47" t="str">
        <f>IF(AND('Mapa final'!$Y$48="Muy Alta",'Mapa final'!$AA$48="Catastrófico"),CONCATENATE("R9C",'Mapa final'!$O$48),"")</f>
        <v/>
      </c>
      <c r="AK14" s="47" t="str">
        <f>IF(AND('Mapa final'!$Y$49="Muy Alta",'Mapa final'!$AA$49="Catastrófico"),CONCATENATE("R9C",'Mapa final'!$O$49),"")</f>
        <v/>
      </c>
      <c r="AL14" s="47" t="str">
        <f>IF(AND('Mapa final'!$Y$50="Muy Alta",'Mapa final'!$AA$50="Catastrófico"),CONCATENATE("R9C",'Mapa final'!$O$50),"")</f>
        <v/>
      </c>
      <c r="AM14" s="48" t="str">
        <f>IF(AND('Mapa final'!$Y$51="Muy Alta",'Mapa final'!$AA$51="Catastrófico"),CONCATENATE("R9C",'Mapa final'!$O$51),"")</f>
        <v/>
      </c>
      <c r="AN14" s="74"/>
      <c r="AO14" s="342"/>
      <c r="AP14" s="343"/>
      <c r="AQ14" s="343"/>
      <c r="AR14" s="343"/>
      <c r="AS14" s="343"/>
      <c r="AT14" s="34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row>
    <row r="15" spans="1:91" ht="15.75" customHeight="1" thickBot="1" x14ac:dyDescent="0.3">
      <c r="A15" s="74"/>
      <c r="B15" s="237"/>
      <c r="C15" s="237"/>
      <c r="D15" s="238"/>
      <c r="E15" s="337"/>
      <c r="F15" s="338"/>
      <c r="G15" s="338"/>
      <c r="H15" s="338"/>
      <c r="I15" s="352"/>
      <c r="J15" s="49" t="str">
        <f>IF(AND('Mapa final'!$Y$52="Muy Alta",'Mapa final'!$AA$52="Leve"),CONCATENATE("R10C",'Mapa final'!$O$52),"")</f>
        <v/>
      </c>
      <c r="K15" s="50" t="str">
        <f>IF(AND('Mapa final'!$Y$53="Muy Alta",'Mapa final'!$AA$53="Leve"),CONCATENATE("R10C",'Mapa final'!$O$53),"")</f>
        <v/>
      </c>
      <c r="L15" s="50" t="str">
        <f>IF(AND('Mapa final'!$Y$54="Muy Alta",'Mapa final'!$AA$54="Leve"),CONCATENATE("R10C",'Mapa final'!$O$54),"")</f>
        <v/>
      </c>
      <c r="M15" s="50" t="str">
        <f>IF(AND('Mapa final'!$Y$55="Muy Alta",'Mapa final'!$AA$55="Leve"),CONCATENATE("R10C",'Mapa final'!$O$55),"")</f>
        <v/>
      </c>
      <c r="N15" s="50" t="str">
        <f>IF(AND('Mapa final'!$Y$56="Muy Alta",'Mapa final'!$AA$56="Leve"),CONCATENATE("R10C",'Mapa final'!$O$56),"")</f>
        <v/>
      </c>
      <c r="O15" s="51" t="str">
        <f>IF(AND('Mapa final'!$Y$57="Muy Alta",'Mapa final'!$AA$57="Leve"),CONCATENATE("R10C",'Mapa final'!$O$57),"")</f>
        <v/>
      </c>
      <c r="P15" s="43" t="str">
        <f>IF(AND('Mapa final'!$Y$52="Muy Alta",'Mapa final'!$AA$52="Menor"),CONCATENATE("R10C",'Mapa final'!$O$52),"")</f>
        <v/>
      </c>
      <c r="Q15" s="44" t="str">
        <f>IF(AND('Mapa final'!$Y$53="Muy Alta",'Mapa final'!$AA$53="Menor"),CONCATENATE("R10C",'Mapa final'!$O$53),"")</f>
        <v/>
      </c>
      <c r="R15" s="44" t="str">
        <f>IF(AND('Mapa final'!$Y$54="Muy Alta",'Mapa final'!$AA$54="Menor"),CONCATENATE("R10C",'Mapa final'!$O$54),"")</f>
        <v/>
      </c>
      <c r="S15" s="44" t="str">
        <f>IF(AND('Mapa final'!$Y$55="Muy Alta",'Mapa final'!$AA$55="Menor"),CONCATENATE("R10C",'Mapa final'!$O$55),"")</f>
        <v/>
      </c>
      <c r="T15" s="44" t="str">
        <f>IF(AND('Mapa final'!$Y$56="Muy Alta",'Mapa final'!$AA$56="Menor"),CONCATENATE("R10C",'Mapa final'!$O$56),"")</f>
        <v/>
      </c>
      <c r="U15" s="45" t="str">
        <f>IF(AND('Mapa final'!$Y$57="Muy Alta",'Mapa final'!$AA$57="Menor"),CONCATENATE("R10C",'Mapa final'!$O$57),"")</f>
        <v/>
      </c>
      <c r="V15" s="49" t="str">
        <f>IF(AND('Mapa final'!$Y$52="Muy Alta",'Mapa final'!$AA$52="Moderado"),CONCATENATE("R10C",'Mapa final'!$O$52),"")</f>
        <v/>
      </c>
      <c r="W15" s="50" t="str">
        <f>IF(AND('Mapa final'!$Y$53="Muy Alta",'Mapa final'!$AA$53="Moderado"),CONCATENATE("R10C",'Mapa final'!$O$53),"")</f>
        <v/>
      </c>
      <c r="X15" s="50" t="str">
        <f>IF(AND('Mapa final'!$Y$54="Muy Alta",'Mapa final'!$AA$54="Moderado"),CONCATENATE("R10C",'Mapa final'!$O$54),"")</f>
        <v/>
      </c>
      <c r="Y15" s="50" t="str">
        <f>IF(AND('Mapa final'!$Y$55="Muy Alta",'Mapa final'!$AA$55="Moderado"),CONCATENATE("R10C",'Mapa final'!$O$55),"")</f>
        <v/>
      </c>
      <c r="Z15" s="50" t="str">
        <f>IF(AND('Mapa final'!$Y$56="Muy Alta",'Mapa final'!$AA$56="Moderado"),CONCATENATE("R10C",'Mapa final'!$O$56),"")</f>
        <v/>
      </c>
      <c r="AA15" s="51" t="str">
        <f>IF(AND('Mapa final'!$Y$57="Muy Alta",'Mapa final'!$AA$57="Moderado"),CONCATENATE("R10C",'Mapa final'!$O$57),"")</f>
        <v/>
      </c>
      <c r="AB15" s="43" t="str">
        <f>IF(AND('Mapa final'!$Y$52="Muy Alta",'Mapa final'!$AA$52="Mayor"),CONCATENATE("R10C",'Mapa final'!$O$52),"")</f>
        <v/>
      </c>
      <c r="AC15" s="44" t="str">
        <f>IF(AND('Mapa final'!$Y$53="Muy Alta",'Mapa final'!$AA$53="Mayor"),CONCATENATE("R10C",'Mapa final'!$O$53),"")</f>
        <v/>
      </c>
      <c r="AD15" s="44" t="str">
        <f>IF(AND('Mapa final'!$Y$54="Muy Alta",'Mapa final'!$AA$54="Mayor"),CONCATENATE("R10C",'Mapa final'!$O$54),"")</f>
        <v/>
      </c>
      <c r="AE15" s="44" t="str">
        <f>IF(AND('Mapa final'!$Y$55="Muy Alta",'Mapa final'!$AA$55="Mayor"),CONCATENATE("R10C",'Mapa final'!$O$55),"")</f>
        <v/>
      </c>
      <c r="AF15" s="44" t="str">
        <f>IF(AND('Mapa final'!$Y$56="Muy Alta",'Mapa final'!$AA$56="Mayor"),CONCATENATE("R10C",'Mapa final'!$O$56),"")</f>
        <v/>
      </c>
      <c r="AG15" s="45" t="str">
        <f>IF(AND('Mapa final'!$Y$57="Muy Alta",'Mapa final'!$AA$57="Mayor"),CONCATENATE("R10C",'Mapa final'!$O$57),"")</f>
        <v/>
      </c>
      <c r="AH15" s="52" t="str">
        <f>IF(AND('Mapa final'!$Y$52="Muy Alta",'Mapa final'!$AA$52="Catastrófico"),CONCATENATE("R10C",'Mapa final'!$O$52),"")</f>
        <v/>
      </c>
      <c r="AI15" s="53" t="str">
        <f>IF(AND('Mapa final'!$Y$53="Muy Alta",'Mapa final'!$AA$53="Catastrófico"),CONCATENATE("R10C",'Mapa final'!$O$53),"")</f>
        <v/>
      </c>
      <c r="AJ15" s="53" t="str">
        <f>IF(AND('Mapa final'!$Y$54="Muy Alta",'Mapa final'!$AA$54="Catastrófico"),CONCATENATE("R10C",'Mapa final'!$O$54),"")</f>
        <v/>
      </c>
      <c r="AK15" s="53" t="str">
        <f>IF(AND('Mapa final'!$Y$55="Muy Alta",'Mapa final'!$AA$55="Catastrófico"),CONCATENATE("R10C",'Mapa final'!$O$55),"")</f>
        <v/>
      </c>
      <c r="AL15" s="53" t="str">
        <f>IF(AND('Mapa final'!$Y$56="Muy Alta",'Mapa final'!$AA$56="Catastrófico"),CONCATENATE("R10C",'Mapa final'!$O$56),"")</f>
        <v/>
      </c>
      <c r="AM15" s="54" t="str">
        <f>IF(AND('Mapa final'!$Y$57="Muy Alta",'Mapa final'!$AA$57="Catastrófico"),CONCATENATE("R10C",'Mapa final'!$O$57),"")</f>
        <v/>
      </c>
      <c r="AN15" s="74"/>
      <c r="AO15" s="345"/>
      <c r="AP15" s="346"/>
      <c r="AQ15" s="346"/>
      <c r="AR15" s="346"/>
      <c r="AS15" s="346"/>
      <c r="AT15" s="347"/>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row>
    <row r="16" spans="1:91" ht="15" customHeight="1" x14ac:dyDescent="0.25">
      <c r="A16" s="74"/>
      <c r="B16" s="237"/>
      <c r="C16" s="237"/>
      <c r="D16" s="238"/>
      <c r="E16" s="332" t="s">
        <v>113</v>
      </c>
      <c r="F16" s="333"/>
      <c r="G16" s="333"/>
      <c r="H16" s="333"/>
      <c r="I16" s="333"/>
      <c r="J16" s="55" t="e">
        <f>IF(AND('Mapa final'!#REF!="Alta",'Mapa final'!#REF!="Leve"),CONCATENATE("R1C",'Mapa final'!#REF!),"")</f>
        <v>#REF!</v>
      </c>
      <c r="K16" s="56" t="e">
        <f>IF(AND('Mapa final'!#REF!="Alta",'Mapa final'!#REF!="Leve"),CONCATENATE("R1C",'Mapa final'!#REF!),"")</f>
        <v>#REF!</v>
      </c>
      <c r="L16" s="56" t="e">
        <f>IF(AND('Mapa final'!#REF!="Alta",'Mapa final'!#REF!="Leve"),CONCATENATE("R1C",'Mapa final'!#REF!),"")</f>
        <v>#REF!</v>
      </c>
      <c r="M16" s="56" t="e">
        <f>IF(AND('Mapa final'!#REF!="Alta",'Mapa final'!#REF!="Leve"),CONCATENATE("R1C",'Mapa final'!#REF!),"")</f>
        <v>#REF!</v>
      </c>
      <c r="N16" s="56" t="e">
        <f>IF(AND('Mapa final'!#REF!="Alta",'Mapa final'!#REF!="Leve"),CONCATENATE("R1C",'Mapa final'!#REF!),"")</f>
        <v>#REF!</v>
      </c>
      <c r="O16" s="57" t="e">
        <f>IF(AND('Mapa final'!#REF!="Alta",'Mapa final'!#REF!="Leve"),CONCATENATE("R1C",'Mapa final'!#REF!),"")</f>
        <v>#REF!</v>
      </c>
      <c r="P16" s="55" t="e">
        <f>IF(AND('Mapa final'!#REF!="Alta",'Mapa final'!#REF!="Menor"),CONCATENATE("R1C",'Mapa final'!#REF!),"")</f>
        <v>#REF!</v>
      </c>
      <c r="Q16" s="56" t="e">
        <f>IF(AND('Mapa final'!#REF!="Alta",'Mapa final'!#REF!="Menor"),CONCATENATE("R1C",'Mapa final'!#REF!),"")</f>
        <v>#REF!</v>
      </c>
      <c r="R16" s="56" t="e">
        <f>IF(AND('Mapa final'!#REF!="Alta",'Mapa final'!#REF!="Menor"),CONCATENATE("R1C",'Mapa final'!#REF!),"")</f>
        <v>#REF!</v>
      </c>
      <c r="S16" s="56" t="e">
        <f>IF(AND('Mapa final'!#REF!="Alta",'Mapa final'!#REF!="Menor"),CONCATENATE("R1C",'Mapa final'!#REF!),"")</f>
        <v>#REF!</v>
      </c>
      <c r="T16" s="56" t="e">
        <f>IF(AND('Mapa final'!#REF!="Alta",'Mapa final'!#REF!="Menor"),CONCATENATE("R1C",'Mapa final'!#REF!),"")</f>
        <v>#REF!</v>
      </c>
      <c r="U16" s="57" t="e">
        <f>IF(AND('Mapa final'!#REF!="Alta",'Mapa final'!#REF!="Menor"),CONCATENATE("R1C",'Mapa final'!#REF!),"")</f>
        <v>#REF!</v>
      </c>
      <c r="V16" s="37" t="e">
        <f>IF(AND('Mapa final'!#REF!="Alta",'Mapa final'!#REF!="Moderado"),CONCATENATE("R1C",'Mapa final'!#REF!),"")</f>
        <v>#REF!</v>
      </c>
      <c r="W16" s="38" t="e">
        <f>IF(AND('Mapa final'!#REF!="Alta",'Mapa final'!#REF!="Moderado"),CONCATENATE("R1C",'Mapa final'!#REF!),"")</f>
        <v>#REF!</v>
      </c>
      <c r="X16" s="38" t="e">
        <f>IF(AND('Mapa final'!#REF!="Alta",'Mapa final'!#REF!="Moderado"),CONCATENATE("R1C",'Mapa final'!#REF!),"")</f>
        <v>#REF!</v>
      </c>
      <c r="Y16" s="38" t="e">
        <f>IF(AND('Mapa final'!#REF!="Alta",'Mapa final'!#REF!="Moderado"),CONCATENATE("R1C",'Mapa final'!#REF!),"")</f>
        <v>#REF!</v>
      </c>
      <c r="Z16" s="38" t="e">
        <f>IF(AND('Mapa final'!#REF!="Alta",'Mapa final'!#REF!="Moderado"),CONCATENATE("R1C",'Mapa final'!#REF!),"")</f>
        <v>#REF!</v>
      </c>
      <c r="AA16" s="39" t="e">
        <f>IF(AND('Mapa final'!#REF!="Alta",'Mapa final'!#REF!="Moderado"),CONCATENATE("R1C",'Mapa final'!#REF!),"")</f>
        <v>#REF!</v>
      </c>
      <c r="AB16" s="37" t="e">
        <f>IF(AND('Mapa final'!#REF!="Alta",'Mapa final'!#REF!="Mayor"),CONCATENATE("R1C",'Mapa final'!#REF!),"")</f>
        <v>#REF!</v>
      </c>
      <c r="AC16" s="38" t="e">
        <f>IF(AND('Mapa final'!#REF!="Alta",'Mapa final'!#REF!="Mayor"),CONCATENATE("R1C",'Mapa final'!#REF!),"")</f>
        <v>#REF!</v>
      </c>
      <c r="AD16" s="38" t="e">
        <f>IF(AND('Mapa final'!#REF!="Alta",'Mapa final'!#REF!="Mayor"),CONCATENATE("R1C",'Mapa final'!#REF!),"")</f>
        <v>#REF!</v>
      </c>
      <c r="AE16" s="38" t="e">
        <f>IF(AND('Mapa final'!#REF!="Alta",'Mapa final'!#REF!="Mayor"),CONCATENATE("R1C",'Mapa final'!#REF!),"")</f>
        <v>#REF!</v>
      </c>
      <c r="AF16" s="38" t="e">
        <f>IF(AND('Mapa final'!#REF!="Alta",'Mapa final'!#REF!="Mayor"),CONCATENATE("R1C",'Mapa final'!#REF!),"")</f>
        <v>#REF!</v>
      </c>
      <c r="AG16" s="39" t="e">
        <f>IF(AND('Mapa final'!#REF!="Alta",'Mapa final'!#REF!="Mayor"),CONCATENATE("R1C",'Mapa final'!#REF!),"")</f>
        <v>#REF!</v>
      </c>
      <c r="AH16" s="40" t="e">
        <f>IF(AND('Mapa final'!#REF!="Alta",'Mapa final'!#REF!="Catastrófico"),CONCATENATE("R1C",'Mapa final'!#REF!),"")</f>
        <v>#REF!</v>
      </c>
      <c r="AI16" s="41" t="e">
        <f>IF(AND('Mapa final'!#REF!="Alta",'Mapa final'!#REF!="Catastrófico"),CONCATENATE("R1C",'Mapa final'!#REF!),"")</f>
        <v>#REF!</v>
      </c>
      <c r="AJ16" s="41" t="e">
        <f>IF(AND('Mapa final'!#REF!="Alta",'Mapa final'!#REF!="Catastrófico"),CONCATENATE("R1C",'Mapa final'!#REF!),"")</f>
        <v>#REF!</v>
      </c>
      <c r="AK16" s="41" t="e">
        <f>IF(AND('Mapa final'!#REF!="Alta",'Mapa final'!#REF!="Catastrófico"),CONCATENATE("R1C",'Mapa final'!#REF!),"")</f>
        <v>#REF!</v>
      </c>
      <c r="AL16" s="41" t="e">
        <f>IF(AND('Mapa final'!#REF!="Alta",'Mapa final'!#REF!="Catastrófico"),CONCATENATE("R1C",'Mapa final'!#REF!),"")</f>
        <v>#REF!</v>
      </c>
      <c r="AM16" s="42" t="e">
        <f>IF(AND('Mapa final'!#REF!="Alta",'Mapa final'!#REF!="Catastrófico"),CONCATENATE("R1C",'Mapa final'!#REF!),"")</f>
        <v>#REF!</v>
      </c>
      <c r="AN16" s="74"/>
      <c r="AO16" s="323" t="s">
        <v>80</v>
      </c>
      <c r="AP16" s="324"/>
      <c r="AQ16" s="324"/>
      <c r="AR16" s="324"/>
      <c r="AS16" s="324"/>
      <c r="AT16" s="325"/>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row>
    <row r="17" spans="1:76" ht="15" customHeight="1" x14ac:dyDescent="0.25">
      <c r="A17" s="74"/>
      <c r="B17" s="237"/>
      <c r="C17" s="237"/>
      <c r="D17" s="238"/>
      <c r="E17" s="334"/>
      <c r="F17" s="335"/>
      <c r="G17" s="335"/>
      <c r="H17" s="335"/>
      <c r="I17" s="335"/>
      <c r="J17" s="58" t="e">
        <f>IF(AND('Mapa final'!#REF!="Alta",'Mapa final'!#REF!="Leve"),CONCATENATE("R2C",'Mapa final'!#REF!),"")</f>
        <v>#REF!</v>
      </c>
      <c r="K17" s="59" t="e">
        <f>IF(AND('Mapa final'!#REF!="Alta",'Mapa final'!#REF!="Leve"),CONCATENATE("R2C",'Mapa final'!#REF!),"")</f>
        <v>#REF!</v>
      </c>
      <c r="L17" s="59" t="e">
        <f>IF(AND('Mapa final'!#REF!="Alta",'Mapa final'!#REF!="Leve"),CONCATENATE("R2C",'Mapa final'!#REF!),"")</f>
        <v>#REF!</v>
      </c>
      <c r="M17" s="59" t="e">
        <f>IF(AND('Mapa final'!#REF!="Alta",'Mapa final'!#REF!="Leve"),CONCATENATE("R2C",'Mapa final'!#REF!),"")</f>
        <v>#REF!</v>
      </c>
      <c r="N17" s="59" t="e">
        <f>IF(AND('Mapa final'!#REF!="Alta",'Mapa final'!#REF!="Leve"),CONCATENATE("R2C",'Mapa final'!#REF!),"")</f>
        <v>#REF!</v>
      </c>
      <c r="O17" s="60" t="e">
        <f>IF(AND('Mapa final'!#REF!="Alta",'Mapa final'!#REF!="Leve"),CONCATENATE("R2C",'Mapa final'!#REF!),"")</f>
        <v>#REF!</v>
      </c>
      <c r="P17" s="58" t="e">
        <f>IF(AND('Mapa final'!#REF!="Alta",'Mapa final'!#REF!="Menor"),CONCATENATE("R2C",'Mapa final'!#REF!),"")</f>
        <v>#REF!</v>
      </c>
      <c r="Q17" s="59" t="e">
        <f>IF(AND('Mapa final'!#REF!="Alta",'Mapa final'!#REF!="Menor"),CONCATENATE("R2C",'Mapa final'!#REF!),"")</f>
        <v>#REF!</v>
      </c>
      <c r="R17" s="59" t="e">
        <f>IF(AND('Mapa final'!#REF!="Alta",'Mapa final'!#REF!="Menor"),CONCATENATE("R2C",'Mapa final'!#REF!),"")</f>
        <v>#REF!</v>
      </c>
      <c r="S17" s="59" t="e">
        <f>IF(AND('Mapa final'!#REF!="Alta",'Mapa final'!#REF!="Menor"),CONCATENATE("R2C",'Mapa final'!#REF!),"")</f>
        <v>#REF!</v>
      </c>
      <c r="T17" s="59" t="e">
        <f>IF(AND('Mapa final'!#REF!="Alta",'Mapa final'!#REF!="Menor"),CONCATENATE("R2C",'Mapa final'!#REF!),"")</f>
        <v>#REF!</v>
      </c>
      <c r="U17" s="60" t="e">
        <f>IF(AND('Mapa final'!#REF!="Alta",'Mapa final'!#REF!="Menor"),CONCATENATE("R2C",'Mapa final'!#REF!),"")</f>
        <v>#REF!</v>
      </c>
      <c r="V17" s="43" t="e">
        <f>IF(AND('Mapa final'!#REF!="Alta",'Mapa final'!#REF!="Moderado"),CONCATENATE("R2C",'Mapa final'!#REF!),"")</f>
        <v>#REF!</v>
      </c>
      <c r="W17" s="44" t="e">
        <f>IF(AND('Mapa final'!#REF!="Alta",'Mapa final'!#REF!="Moderado"),CONCATENATE("R2C",'Mapa final'!#REF!),"")</f>
        <v>#REF!</v>
      </c>
      <c r="X17" s="44" t="e">
        <f>IF(AND('Mapa final'!#REF!="Alta",'Mapa final'!#REF!="Moderado"),CONCATENATE("R2C",'Mapa final'!#REF!),"")</f>
        <v>#REF!</v>
      </c>
      <c r="Y17" s="44" t="e">
        <f>IF(AND('Mapa final'!#REF!="Alta",'Mapa final'!#REF!="Moderado"),CONCATENATE("R2C",'Mapa final'!#REF!),"")</f>
        <v>#REF!</v>
      </c>
      <c r="Z17" s="44" t="e">
        <f>IF(AND('Mapa final'!#REF!="Alta",'Mapa final'!#REF!="Moderado"),CONCATENATE("R2C",'Mapa final'!#REF!),"")</f>
        <v>#REF!</v>
      </c>
      <c r="AA17" s="45" t="e">
        <f>IF(AND('Mapa final'!#REF!="Alta",'Mapa final'!#REF!="Moderado"),CONCATENATE("R2C",'Mapa final'!#REF!),"")</f>
        <v>#REF!</v>
      </c>
      <c r="AB17" s="43" t="e">
        <f>IF(AND('Mapa final'!#REF!="Alta",'Mapa final'!#REF!="Mayor"),CONCATENATE("R2C",'Mapa final'!#REF!),"")</f>
        <v>#REF!</v>
      </c>
      <c r="AC17" s="44" t="e">
        <f>IF(AND('Mapa final'!#REF!="Alta",'Mapa final'!#REF!="Mayor"),CONCATENATE("R2C",'Mapa final'!#REF!),"")</f>
        <v>#REF!</v>
      </c>
      <c r="AD17" s="44" t="e">
        <f>IF(AND('Mapa final'!#REF!="Alta",'Mapa final'!#REF!="Mayor"),CONCATENATE("R2C",'Mapa final'!#REF!),"")</f>
        <v>#REF!</v>
      </c>
      <c r="AE17" s="44" t="e">
        <f>IF(AND('Mapa final'!#REF!="Alta",'Mapa final'!#REF!="Mayor"),CONCATENATE("R2C",'Mapa final'!#REF!),"")</f>
        <v>#REF!</v>
      </c>
      <c r="AF17" s="44" t="e">
        <f>IF(AND('Mapa final'!#REF!="Alta",'Mapa final'!#REF!="Mayor"),CONCATENATE("R2C",'Mapa final'!#REF!),"")</f>
        <v>#REF!</v>
      </c>
      <c r="AG17" s="45" t="e">
        <f>IF(AND('Mapa final'!#REF!="Alta",'Mapa final'!#REF!="Mayor"),CONCATENATE("R2C",'Mapa final'!#REF!),"")</f>
        <v>#REF!</v>
      </c>
      <c r="AH17" s="46" t="e">
        <f>IF(AND('Mapa final'!#REF!="Alta",'Mapa final'!#REF!="Catastrófico"),CONCATENATE("R2C",'Mapa final'!#REF!),"")</f>
        <v>#REF!</v>
      </c>
      <c r="AI17" s="47" t="e">
        <f>IF(AND('Mapa final'!#REF!="Alta",'Mapa final'!#REF!="Catastrófico"),CONCATENATE("R2C",'Mapa final'!#REF!),"")</f>
        <v>#REF!</v>
      </c>
      <c r="AJ17" s="47" t="e">
        <f>IF(AND('Mapa final'!#REF!="Alta",'Mapa final'!#REF!="Catastrófico"),CONCATENATE("R2C",'Mapa final'!#REF!),"")</f>
        <v>#REF!</v>
      </c>
      <c r="AK17" s="47" t="e">
        <f>IF(AND('Mapa final'!#REF!="Alta",'Mapa final'!#REF!="Catastrófico"),CONCATENATE("R2C",'Mapa final'!#REF!),"")</f>
        <v>#REF!</v>
      </c>
      <c r="AL17" s="47" t="e">
        <f>IF(AND('Mapa final'!#REF!="Alta",'Mapa final'!#REF!="Catastrófico"),CONCATENATE("R2C",'Mapa final'!#REF!),"")</f>
        <v>#REF!</v>
      </c>
      <c r="AM17" s="48" t="e">
        <f>IF(AND('Mapa final'!#REF!="Alta",'Mapa final'!#REF!="Catastrófico"),CONCATENATE("R2C",'Mapa final'!#REF!),"")</f>
        <v>#REF!</v>
      </c>
      <c r="AN17" s="74"/>
      <c r="AO17" s="326"/>
      <c r="AP17" s="327"/>
      <c r="AQ17" s="327"/>
      <c r="AR17" s="327"/>
      <c r="AS17" s="327"/>
      <c r="AT17" s="328"/>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row>
    <row r="18" spans="1:76" ht="15" customHeight="1" x14ac:dyDescent="0.25">
      <c r="A18" s="74"/>
      <c r="B18" s="237"/>
      <c r="C18" s="237"/>
      <c r="D18" s="238"/>
      <c r="E18" s="336"/>
      <c r="F18" s="335"/>
      <c r="G18" s="335"/>
      <c r="H18" s="335"/>
      <c r="I18" s="335"/>
      <c r="J18" s="58" t="str">
        <f ca="1">IF(AND('Mapa final'!$Y$10="Alta",'Mapa final'!$AA$10="Leve"),CONCATENATE("R3C",'Mapa final'!$O$10),"")</f>
        <v/>
      </c>
      <c r="K18" s="59" t="str">
        <f ca="1">IF(AND('Mapa final'!$Y$11="Alta",'Mapa final'!$AA$11="Leve"),CONCATENATE("R3C",'Mapa final'!$O$11),"")</f>
        <v/>
      </c>
      <c r="L18" s="59" t="str">
        <f ca="1">IF(AND('Mapa final'!$Y$12="Alta",'Mapa final'!$AA$12="Leve"),CONCATENATE("R3C",'Mapa final'!$O$12),"")</f>
        <v/>
      </c>
      <c r="M18" s="59" t="str">
        <f ca="1">IF(AND('Mapa final'!$Y$13="Alta",'Mapa final'!$AA$13="Leve"),CONCATENATE("R3C",'Mapa final'!$O$13),"")</f>
        <v/>
      </c>
      <c r="N18" s="59" t="str">
        <f>IF(AND('Mapa final'!$Y$14="Alta",'Mapa final'!$AA$14="Leve"),CONCATENATE("R3C",'Mapa final'!$O$14),"")</f>
        <v/>
      </c>
      <c r="O18" s="60" t="str">
        <f>IF(AND('Mapa final'!$Y$15="Alta",'Mapa final'!$AA$15="Leve"),CONCATENATE("R3C",'Mapa final'!$O$15),"")</f>
        <v/>
      </c>
      <c r="P18" s="58" t="str">
        <f ca="1">IF(AND('Mapa final'!$Y$10="Alta",'Mapa final'!$AA$10="Menor"),CONCATENATE("R3C",'Mapa final'!$O$10),"")</f>
        <v/>
      </c>
      <c r="Q18" s="59" t="str">
        <f ca="1">IF(AND('Mapa final'!$Y$11="Alta",'Mapa final'!$AA$11="Menor"),CONCATENATE("R3C",'Mapa final'!$O$11),"")</f>
        <v/>
      </c>
      <c r="R18" s="59" t="str">
        <f ca="1">IF(AND('Mapa final'!$Y$12="Alta",'Mapa final'!$AA$12="Menor"),CONCATENATE("R3C",'Mapa final'!$O$12),"")</f>
        <v/>
      </c>
      <c r="S18" s="59" t="str">
        <f ca="1">IF(AND('Mapa final'!$Y$13="Alta",'Mapa final'!$AA$13="Menor"),CONCATENATE("R3C",'Mapa final'!$O$13),"")</f>
        <v/>
      </c>
      <c r="T18" s="59" t="str">
        <f>IF(AND('Mapa final'!$Y$14="Alta",'Mapa final'!$AA$14="Menor"),CONCATENATE("R3C",'Mapa final'!$O$14),"")</f>
        <v/>
      </c>
      <c r="U18" s="60" t="str">
        <f>IF(AND('Mapa final'!$Y$15="Alta",'Mapa final'!$AA$15="Menor"),CONCATENATE("R3C",'Mapa final'!$O$15),"")</f>
        <v/>
      </c>
      <c r="V18" s="43" t="str">
        <f ca="1">IF(AND('Mapa final'!$Y$10="Alta",'Mapa final'!$AA$10="Moderado"),CONCATENATE("R3C",'Mapa final'!$O$10),"")</f>
        <v/>
      </c>
      <c r="W18" s="44" t="str">
        <f ca="1">IF(AND('Mapa final'!$Y$11="Alta",'Mapa final'!$AA$11="Moderado"),CONCATENATE("R3C",'Mapa final'!$O$11),"")</f>
        <v/>
      </c>
      <c r="X18" s="44" t="str">
        <f ca="1">IF(AND('Mapa final'!$Y$12="Alta",'Mapa final'!$AA$12="Moderado"),CONCATENATE("R3C",'Mapa final'!$O$12),"")</f>
        <v/>
      </c>
      <c r="Y18" s="44" t="str">
        <f ca="1">IF(AND('Mapa final'!$Y$13="Alta",'Mapa final'!$AA$13="Moderado"),CONCATENATE("R3C",'Mapa final'!$O$13),"")</f>
        <v/>
      </c>
      <c r="Z18" s="44" t="str">
        <f>IF(AND('Mapa final'!$Y$14="Alta",'Mapa final'!$AA$14="Moderado"),CONCATENATE("R3C",'Mapa final'!$O$14),"")</f>
        <v/>
      </c>
      <c r="AA18" s="45" t="str">
        <f>IF(AND('Mapa final'!$Y$15="Alta",'Mapa final'!$AA$15="Moderado"),CONCATENATE("R3C",'Mapa final'!$O$15),"")</f>
        <v/>
      </c>
      <c r="AB18" s="43" t="str">
        <f ca="1">IF(AND('Mapa final'!$Y$10="Alta",'Mapa final'!$AA$10="Mayor"),CONCATENATE("R3C",'Mapa final'!$O$10),"")</f>
        <v/>
      </c>
      <c r="AC18" s="44" t="str">
        <f ca="1">IF(AND('Mapa final'!$Y$11="Alta",'Mapa final'!$AA$11="Mayor"),CONCATENATE("R3C",'Mapa final'!$O$11),"")</f>
        <v/>
      </c>
      <c r="AD18" s="44" t="str">
        <f ca="1">IF(AND('Mapa final'!$Y$12="Alta",'Mapa final'!$AA$12="Mayor"),CONCATENATE("R3C",'Mapa final'!$O$12),"")</f>
        <v/>
      </c>
      <c r="AE18" s="44" t="str">
        <f ca="1">IF(AND('Mapa final'!$Y$13="Alta",'Mapa final'!$AA$13="Mayor"),CONCATENATE("R3C",'Mapa final'!$O$13),"")</f>
        <v/>
      </c>
      <c r="AF18" s="44" t="str">
        <f>IF(AND('Mapa final'!$Y$14="Alta",'Mapa final'!$AA$14="Mayor"),CONCATENATE("R3C",'Mapa final'!$O$14),"")</f>
        <v/>
      </c>
      <c r="AG18" s="45" t="str">
        <f>IF(AND('Mapa final'!$Y$15="Alta",'Mapa final'!$AA$15="Mayor"),CONCATENATE("R3C",'Mapa final'!$O$15),"")</f>
        <v/>
      </c>
      <c r="AH18" s="46" t="str">
        <f ca="1">IF(AND('Mapa final'!$Y$10="Alta",'Mapa final'!$AA$10="Catastrófico"),CONCATENATE("R3C",'Mapa final'!$O$10),"")</f>
        <v/>
      </c>
      <c r="AI18" s="47" t="str">
        <f ca="1">IF(AND('Mapa final'!$Y$11="Alta",'Mapa final'!$AA$11="Catastrófico"),CONCATENATE("R3C",'Mapa final'!$O$11),"")</f>
        <v/>
      </c>
      <c r="AJ18" s="47" t="str">
        <f ca="1">IF(AND('Mapa final'!$Y$12="Alta",'Mapa final'!$AA$12="Catastrófico"),CONCATENATE("R3C",'Mapa final'!$O$12),"")</f>
        <v/>
      </c>
      <c r="AK18" s="47" t="str">
        <f ca="1">IF(AND('Mapa final'!$Y$13="Alta",'Mapa final'!$AA$13="Catastrófico"),CONCATENATE("R3C",'Mapa final'!$O$13),"")</f>
        <v/>
      </c>
      <c r="AL18" s="47" t="str">
        <f>IF(AND('Mapa final'!$Y$14="Alta",'Mapa final'!$AA$14="Catastrófico"),CONCATENATE("R3C",'Mapa final'!$O$14),"")</f>
        <v/>
      </c>
      <c r="AM18" s="48" t="str">
        <f>IF(AND('Mapa final'!$Y$15="Alta",'Mapa final'!$AA$15="Catastrófico"),CONCATENATE("R3C",'Mapa final'!$O$15),"")</f>
        <v/>
      </c>
      <c r="AN18" s="74"/>
      <c r="AO18" s="326"/>
      <c r="AP18" s="327"/>
      <c r="AQ18" s="327"/>
      <c r="AR18" s="327"/>
      <c r="AS18" s="327"/>
      <c r="AT18" s="328"/>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row>
    <row r="19" spans="1:76" ht="15" customHeight="1" x14ac:dyDescent="0.25">
      <c r="A19" s="74"/>
      <c r="B19" s="237"/>
      <c r="C19" s="237"/>
      <c r="D19" s="238"/>
      <c r="E19" s="336"/>
      <c r="F19" s="335"/>
      <c r="G19" s="335"/>
      <c r="H19" s="335"/>
      <c r="I19" s="335"/>
      <c r="J19" s="58" t="str">
        <f ca="1">IF(AND('Mapa final'!$Y$16="Alta",'Mapa final'!$AA$16="Leve"),CONCATENATE("R4C",'Mapa final'!$O$16),"")</f>
        <v/>
      </c>
      <c r="K19" s="59" t="str">
        <f ca="1">IF(AND('Mapa final'!$Y$17="Alta",'Mapa final'!$AA$17="Leve"),CONCATENATE("R4C",'Mapa final'!$O$17),"")</f>
        <v/>
      </c>
      <c r="L19" s="59" t="str">
        <f ca="1">IF(AND('Mapa final'!$Y$18="Alta",'Mapa final'!$AA$18="Leve"),CONCATENATE("R4C",'Mapa final'!$O$18),"")</f>
        <v/>
      </c>
      <c r="M19" s="59" t="str">
        <f>IF(AND('Mapa final'!$Y$19="Alta",'Mapa final'!$AA$19="Leve"),CONCATENATE("R4C",'Mapa final'!$O$19),"")</f>
        <v/>
      </c>
      <c r="N19" s="59" t="str">
        <f>IF(AND('Mapa final'!$Y$20="Alta",'Mapa final'!$AA$20="Leve"),CONCATENATE("R4C",'Mapa final'!$O$20),"")</f>
        <v/>
      </c>
      <c r="O19" s="60" t="str">
        <f>IF(AND('Mapa final'!$Y$21="Alta",'Mapa final'!$AA$21="Leve"),CONCATENATE("R4C",'Mapa final'!$O$21),"")</f>
        <v/>
      </c>
      <c r="P19" s="58" t="str">
        <f ca="1">IF(AND('Mapa final'!$Y$16="Alta",'Mapa final'!$AA$16="Menor"),CONCATENATE("R4C",'Mapa final'!$O$16),"")</f>
        <v/>
      </c>
      <c r="Q19" s="59" t="str">
        <f ca="1">IF(AND('Mapa final'!$Y$17="Alta",'Mapa final'!$AA$17="Menor"),CONCATENATE("R4C",'Mapa final'!$O$17),"")</f>
        <v/>
      </c>
      <c r="R19" s="59" t="str">
        <f ca="1">IF(AND('Mapa final'!$Y$18="Alta",'Mapa final'!$AA$18="Menor"),CONCATENATE("R4C",'Mapa final'!$O$18),"")</f>
        <v/>
      </c>
      <c r="S19" s="59" t="str">
        <f>IF(AND('Mapa final'!$Y$19="Alta",'Mapa final'!$AA$19="Menor"),CONCATENATE("R4C",'Mapa final'!$O$19),"")</f>
        <v/>
      </c>
      <c r="T19" s="59" t="str">
        <f>IF(AND('Mapa final'!$Y$20="Alta",'Mapa final'!$AA$20="Menor"),CONCATENATE("R4C",'Mapa final'!$O$20),"")</f>
        <v/>
      </c>
      <c r="U19" s="60" t="str">
        <f>IF(AND('Mapa final'!$Y$21="Alta",'Mapa final'!$AA$21="Menor"),CONCATENATE("R4C",'Mapa final'!$O$21),"")</f>
        <v/>
      </c>
      <c r="V19" s="43" t="str">
        <f ca="1">IF(AND('Mapa final'!$Y$16="Alta",'Mapa final'!$AA$16="Moderado"),CONCATENATE("R4C",'Mapa final'!$O$16),"")</f>
        <v/>
      </c>
      <c r="W19" s="44" t="str">
        <f ca="1">IF(AND('Mapa final'!$Y$17="Alta",'Mapa final'!$AA$17="Moderado"),CONCATENATE("R4C",'Mapa final'!$O$17),"")</f>
        <v/>
      </c>
      <c r="X19" s="44" t="str">
        <f ca="1">IF(AND('Mapa final'!$Y$18="Alta",'Mapa final'!$AA$18="Moderado"),CONCATENATE("R4C",'Mapa final'!$O$18),"")</f>
        <v/>
      </c>
      <c r="Y19" s="44" t="str">
        <f>IF(AND('Mapa final'!$Y$19="Alta",'Mapa final'!$AA$19="Moderado"),CONCATENATE("R4C",'Mapa final'!$O$19),"")</f>
        <v/>
      </c>
      <c r="Z19" s="44" t="str">
        <f>IF(AND('Mapa final'!$Y$20="Alta",'Mapa final'!$AA$20="Moderado"),CONCATENATE("R4C",'Mapa final'!$O$20),"")</f>
        <v/>
      </c>
      <c r="AA19" s="45" t="str">
        <f>IF(AND('Mapa final'!$Y$21="Alta",'Mapa final'!$AA$21="Moderado"),CONCATENATE("R4C",'Mapa final'!$O$21),"")</f>
        <v/>
      </c>
      <c r="AB19" s="43" t="str">
        <f ca="1">IF(AND('Mapa final'!$Y$16="Alta",'Mapa final'!$AA$16="Mayor"),CONCATENATE("R4C",'Mapa final'!$O$16),"")</f>
        <v/>
      </c>
      <c r="AC19" s="44" t="str">
        <f ca="1">IF(AND('Mapa final'!$Y$17="Alta",'Mapa final'!$AA$17="Mayor"),CONCATENATE("R4C",'Mapa final'!$O$17),"")</f>
        <v/>
      </c>
      <c r="AD19" s="44" t="str">
        <f ca="1">IF(AND('Mapa final'!$Y$18="Alta",'Mapa final'!$AA$18="Mayor"),CONCATENATE("R4C",'Mapa final'!$O$18),"")</f>
        <v/>
      </c>
      <c r="AE19" s="44" t="str">
        <f>IF(AND('Mapa final'!$Y$19="Alta",'Mapa final'!$AA$19="Mayor"),CONCATENATE("R4C",'Mapa final'!$O$19),"")</f>
        <v/>
      </c>
      <c r="AF19" s="44" t="str">
        <f>IF(AND('Mapa final'!$Y$20="Alta",'Mapa final'!$AA$20="Mayor"),CONCATENATE("R4C",'Mapa final'!$O$20),"")</f>
        <v/>
      </c>
      <c r="AG19" s="45" t="str">
        <f>IF(AND('Mapa final'!$Y$21="Alta",'Mapa final'!$AA$21="Mayor"),CONCATENATE("R4C",'Mapa final'!$O$21),"")</f>
        <v/>
      </c>
      <c r="AH19" s="46" t="str">
        <f ca="1">IF(AND('Mapa final'!$Y$16="Alta",'Mapa final'!$AA$16="Catastrófico"),CONCATENATE("R4C",'Mapa final'!$O$16),"")</f>
        <v/>
      </c>
      <c r="AI19" s="47" t="str">
        <f ca="1">IF(AND('Mapa final'!$Y$17="Alta",'Mapa final'!$AA$17="Catastrófico"),CONCATENATE("R4C",'Mapa final'!$O$17),"")</f>
        <v/>
      </c>
      <c r="AJ19" s="47" t="str">
        <f ca="1">IF(AND('Mapa final'!$Y$18="Alta",'Mapa final'!$AA$18="Catastrófico"),CONCATENATE("R4C",'Mapa final'!$O$18),"")</f>
        <v/>
      </c>
      <c r="AK19" s="47" t="str">
        <f>IF(AND('Mapa final'!$Y$19="Alta",'Mapa final'!$AA$19="Catastrófico"),CONCATENATE("R4C",'Mapa final'!$O$19),"")</f>
        <v/>
      </c>
      <c r="AL19" s="47" t="str">
        <f>IF(AND('Mapa final'!$Y$20="Alta",'Mapa final'!$AA$20="Catastrófico"),CONCATENATE("R4C",'Mapa final'!$O$20),"")</f>
        <v/>
      </c>
      <c r="AM19" s="48" t="str">
        <f>IF(AND('Mapa final'!$Y$21="Alta",'Mapa final'!$AA$21="Catastrófico"),CONCATENATE("R4C",'Mapa final'!$O$21),"")</f>
        <v/>
      </c>
      <c r="AN19" s="74"/>
      <c r="AO19" s="326"/>
      <c r="AP19" s="327"/>
      <c r="AQ19" s="327"/>
      <c r="AR19" s="327"/>
      <c r="AS19" s="327"/>
      <c r="AT19" s="328"/>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row>
    <row r="20" spans="1:76" ht="15" customHeight="1" x14ac:dyDescent="0.25">
      <c r="A20" s="74"/>
      <c r="B20" s="237"/>
      <c r="C20" s="237"/>
      <c r="D20" s="238"/>
      <c r="E20" s="336"/>
      <c r="F20" s="335"/>
      <c r="G20" s="335"/>
      <c r="H20" s="335"/>
      <c r="I20" s="335"/>
      <c r="J20" s="58" t="str">
        <f ca="1">IF(AND('Mapa final'!$Y$22="Alta",'Mapa final'!$AA$22="Leve"),CONCATENATE("R5C",'Mapa final'!$O$22),"")</f>
        <v/>
      </c>
      <c r="K20" s="59" t="str">
        <f ca="1">IF(AND('Mapa final'!$Y$23="Alta",'Mapa final'!$AA$23="Leve"),CONCATENATE("R5C",'Mapa final'!$O$23),"")</f>
        <v/>
      </c>
      <c r="L20" s="59" t="str">
        <f ca="1">IF(AND('Mapa final'!$Y$24="Alta",'Mapa final'!$AA$24="Leve"),CONCATENATE("R5C",'Mapa final'!$O$24),"")</f>
        <v/>
      </c>
      <c r="M20" s="59" t="str">
        <f>IF(AND('Mapa final'!$Y$25="Alta",'Mapa final'!$AA$25="Leve"),CONCATENATE("R5C",'Mapa final'!$O$25),"")</f>
        <v/>
      </c>
      <c r="N20" s="59" t="str">
        <f>IF(AND('Mapa final'!$Y$26="Alta",'Mapa final'!$AA$26="Leve"),CONCATENATE("R5C",'Mapa final'!$O$26),"")</f>
        <v/>
      </c>
      <c r="O20" s="60" t="str">
        <f>IF(AND('Mapa final'!$Y$27="Alta",'Mapa final'!$AA$27="Leve"),CONCATENATE("R5C",'Mapa final'!$O$27),"")</f>
        <v/>
      </c>
      <c r="P20" s="58" t="str">
        <f ca="1">IF(AND('Mapa final'!$Y$22="Alta",'Mapa final'!$AA$22="Menor"),CONCATENATE("R5C",'Mapa final'!$O$22),"")</f>
        <v/>
      </c>
      <c r="Q20" s="59" t="str">
        <f ca="1">IF(AND('Mapa final'!$Y$23="Alta",'Mapa final'!$AA$23="Menor"),CONCATENATE("R5C",'Mapa final'!$O$23),"")</f>
        <v/>
      </c>
      <c r="R20" s="59" t="str">
        <f ca="1">IF(AND('Mapa final'!$Y$24="Alta",'Mapa final'!$AA$24="Menor"),CONCATENATE("R5C",'Mapa final'!$O$24),"")</f>
        <v/>
      </c>
      <c r="S20" s="59" t="str">
        <f>IF(AND('Mapa final'!$Y$25="Alta",'Mapa final'!$AA$25="Menor"),CONCATENATE("R5C",'Mapa final'!$O$25),"")</f>
        <v/>
      </c>
      <c r="T20" s="59" t="str">
        <f>IF(AND('Mapa final'!$Y$26="Alta",'Mapa final'!$AA$26="Menor"),CONCATENATE("R5C",'Mapa final'!$O$26),"")</f>
        <v/>
      </c>
      <c r="U20" s="60" t="str">
        <f>IF(AND('Mapa final'!$Y$27="Alta",'Mapa final'!$AA$27="Menor"),CONCATENATE("R5C",'Mapa final'!$O$27),"")</f>
        <v/>
      </c>
      <c r="V20" s="43" t="str">
        <f ca="1">IF(AND('Mapa final'!$Y$22="Alta",'Mapa final'!$AA$22="Moderado"),CONCATENATE("R5C",'Mapa final'!$O$22),"")</f>
        <v/>
      </c>
      <c r="W20" s="44" t="str">
        <f ca="1">IF(AND('Mapa final'!$Y$23="Alta",'Mapa final'!$AA$23="Moderado"),CONCATENATE("R5C",'Mapa final'!$O$23),"")</f>
        <v/>
      </c>
      <c r="X20" s="44" t="str">
        <f ca="1">IF(AND('Mapa final'!$Y$24="Alta",'Mapa final'!$AA$24="Moderado"),CONCATENATE("R5C",'Mapa final'!$O$24),"")</f>
        <v/>
      </c>
      <c r="Y20" s="44" t="str">
        <f>IF(AND('Mapa final'!$Y$25="Alta",'Mapa final'!$AA$25="Moderado"),CONCATENATE("R5C",'Mapa final'!$O$25),"")</f>
        <v/>
      </c>
      <c r="Z20" s="44" t="str">
        <f>IF(AND('Mapa final'!$Y$26="Alta",'Mapa final'!$AA$26="Moderado"),CONCATENATE("R5C",'Mapa final'!$O$26),"")</f>
        <v/>
      </c>
      <c r="AA20" s="45" t="str">
        <f>IF(AND('Mapa final'!$Y$27="Alta",'Mapa final'!$AA$27="Moderado"),CONCATENATE("R5C",'Mapa final'!$O$27),"")</f>
        <v/>
      </c>
      <c r="AB20" s="43" t="str">
        <f ca="1">IF(AND('Mapa final'!$Y$22="Alta",'Mapa final'!$AA$22="Mayor"),CONCATENATE("R5C",'Mapa final'!$O$22),"")</f>
        <v/>
      </c>
      <c r="AC20" s="44" t="str">
        <f ca="1">IF(AND('Mapa final'!$Y$23="Alta",'Mapa final'!$AA$23="Mayor"),CONCATENATE("R5C",'Mapa final'!$O$23),"")</f>
        <v/>
      </c>
      <c r="AD20" s="44" t="str">
        <f ca="1">IF(AND('Mapa final'!$Y$24="Alta",'Mapa final'!$AA$24="Mayor"),CONCATENATE("R5C",'Mapa final'!$O$24),"")</f>
        <v/>
      </c>
      <c r="AE20" s="44" t="str">
        <f>IF(AND('Mapa final'!$Y$25="Alta",'Mapa final'!$AA$25="Mayor"),CONCATENATE("R5C",'Mapa final'!$O$25),"")</f>
        <v/>
      </c>
      <c r="AF20" s="44" t="str">
        <f>IF(AND('Mapa final'!$Y$26="Alta",'Mapa final'!$AA$26="Mayor"),CONCATENATE("R5C",'Mapa final'!$O$26),"")</f>
        <v/>
      </c>
      <c r="AG20" s="45" t="str">
        <f>IF(AND('Mapa final'!$Y$27="Alta",'Mapa final'!$AA$27="Mayor"),CONCATENATE("R5C",'Mapa final'!$O$27),"")</f>
        <v/>
      </c>
      <c r="AH20" s="46" t="str">
        <f ca="1">IF(AND('Mapa final'!$Y$22="Alta",'Mapa final'!$AA$22="Catastrófico"),CONCATENATE("R5C",'Mapa final'!$O$22),"")</f>
        <v/>
      </c>
      <c r="AI20" s="47" t="str">
        <f ca="1">IF(AND('Mapa final'!$Y$23="Alta",'Mapa final'!$AA$23="Catastrófico"),CONCATENATE("R5C",'Mapa final'!$O$23),"")</f>
        <v/>
      </c>
      <c r="AJ20" s="47" t="str">
        <f ca="1">IF(AND('Mapa final'!$Y$24="Alta",'Mapa final'!$AA$24="Catastrófico"),CONCATENATE("R5C",'Mapa final'!$O$24),"")</f>
        <v/>
      </c>
      <c r="AK20" s="47" t="str">
        <f>IF(AND('Mapa final'!$Y$25="Alta",'Mapa final'!$AA$25="Catastrófico"),CONCATENATE("R5C",'Mapa final'!$O$25),"")</f>
        <v/>
      </c>
      <c r="AL20" s="47" t="str">
        <f>IF(AND('Mapa final'!$Y$26="Alta",'Mapa final'!$AA$26="Catastrófico"),CONCATENATE("R5C",'Mapa final'!$O$26),"")</f>
        <v/>
      </c>
      <c r="AM20" s="48" t="str">
        <f>IF(AND('Mapa final'!$Y$27="Alta",'Mapa final'!$AA$27="Catastrófico"),CONCATENATE("R5C",'Mapa final'!$O$27),"")</f>
        <v/>
      </c>
      <c r="AN20" s="74"/>
      <c r="AO20" s="326"/>
      <c r="AP20" s="327"/>
      <c r="AQ20" s="327"/>
      <c r="AR20" s="327"/>
      <c r="AS20" s="327"/>
      <c r="AT20" s="328"/>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row>
    <row r="21" spans="1:76" ht="15" customHeight="1" x14ac:dyDescent="0.25">
      <c r="A21" s="74"/>
      <c r="B21" s="237"/>
      <c r="C21" s="237"/>
      <c r="D21" s="238"/>
      <c r="E21" s="336"/>
      <c r="F21" s="335"/>
      <c r="G21" s="335"/>
      <c r="H21" s="335"/>
      <c r="I21" s="335"/>
      <c r="J21" s="58" t="str">
        <f ca="1">IF(AND('Mapa final'!$Y$28="Alta",'Mapa final'!$AA$28="Leve"),CONCATENATE("R6C",'Mapa final'!$O$28),"")</f>
        <v/>
      </c>
      <c r="K21" s="59" t="str">
        <f ca="1">IF(AND('Mapa final'!$Y$29="Alta",'Mapa final'!$AA$29="Leve"),CONCATENATE("R6C",'Mapa final'!$O$29),"")</f>
        <v/>
      </c>
      <c r="L21" s="59" t="str">
        <f ca="1">IF(AND('Mapa final'!$Y$30="Alta",'Mapa final'!$AA$30="Leve"),CONCATENATE("R6C",'Mapa final'!$O$30),"")</f>
        <v/>
      </c>
      <c r="M21" s="59" t="str">
        <f>IF(AND('Mapa final'!$Y$31="Alta",'Mapa final'!$AA$31="Leve"),CONCATENATE("R6C",'Mapa final'!$O$31),"")</f>
        <v/>
      </c>
      <c r="N21" s="59" t="str">
        <f>IF(AND('Mapa final'!$Y$32="Alta",'Mapa final'!$AA$32="Leve"),CONCATENATE("R6C",'Mapa final'!$O$32),"")</f>
        <v/>
      </c>
      <c r="O21" s="60" t="str">
        <f>IF(AND('Mapa final'!$Y$33="Alta",'Mapa final'!$AA$33="Leve"),CONCATENATE("R6C",'Mapa final'!$O$33),"")</f>
        <v/>
      </c>
      <c r="P21" s="58" t="str">
        <f ca="1">IF(AND('Mapa final'!$Y$28="Alta",'Mapa final'!$AA$28="Menor"),CONCATENATE("R6C",'Mapa final'!$O$28),"")</f>
        <v/>
      </c>
      <c r="Q21" s="59" t="str">
        <f ca="1">IF(AND('Mapa final'!$Y$29="Alta",'Mapa final'!$AA$29="Menor"),CONCATENATE("R6C",'Mapa final'!$O$29),"")</f>
        <v/>
      </c>
      <c r="R21" s="59" t="str">
        <f ca="1">IF(AND('Mapa final'!$Y$30="Alta",'Mapa final'!$AA$30="Menor"),CONCATENATE("R6C",'Mapa final'!$O$30),"")</f>
        <v/>
      </c>
      <c r="S21" s="59" t="str">
        <f>IF(AND('Mapa final'!$Y$31="Alta",'Mapa final'!$AA$31="Menor"),CONCATENATE("R6C",'Mapa final'!$O$31),"")</f>
        <v/>
      </c>
      <c r="T21" s="59" t="str">
        <f>IF(AND('Mapa final'!$Y$32="Alta",'Mapa final'!$AA$32="Menor"),CONCATENATE("R6C",'Mapa final'!$O$32),"")</f>
        <v/>
      </c>
      <c r="U21" s="60" t="str">
        <f>IF(AND('Mapa final'!$Y$33="Alta",'Mapa final'!$AA$33="Menor"),CONCATENATE("R6C",'Mapa final'!$O$33),"")</f>
        <v/>
      </c>
      <c r="V21" s="43" t="str">
        <f ca="1">IF(AND('Mapa final'!$Y$28="Alta",'Mapa final'!$AA$28="Moderado"),CONCATENATE("R6C",'Mapa final'!$O$28),"")</f>
        <v/>
      </c>
      <c r="W21" s="44" t="str">
        <f ca="1">IF(AND('Mapa final'!$Y$29="Alta",'Mapa final'!$AA$29="Moderado"),CONCATENATE("R6C",'Mapa final'!$O$29),"")</f>
        <v/>
      </c>
      <c r="X21" s="44" t="str">
        <f ca="1">IF(AND('Mapa final'!$Y$30="Alta",'Mapa final'!$AA$30="Moderado"),CONCATENATE("R6C",'Mapa final'!$O$30),"")</f>
        <v/>
      </c>
      <c r="Y21" s="44" t="str">
        <f>IF(AND('Mapa final'!$Y$31="Alta",'Mapa final'!$AA$31="Moderado"),CONCATENATE("R6C",'Mapa final'!$O$31),"")</f>
        <v/>
      </c>
      <c r="Z21" s="44" t="str">
        <f>IF(AND('Mapa final'!$Y$32="Alta",'Mapa final'!$AA$32="Moderado"),CONCATENATE("R6C",'Mapa final'!$O$32),"")</f>
        <v/>
      </c>
      <c r="AA21" s="45" t="str">
        <f>IF(AND('Mapa final'!$Y$33="Alta",'Mapa final'!$AA$33="Moderado"),CONCATENATE("R6C",'Mapa final'!$O$33),"")</f>
        <v/>
      </c>
      <c r="AB21" s="43" t="str">
        <f ca="1">IF(AND('Mapa final'!$Y$28="Alta",'Mapa final'!$AA$28="Mayor"),CONCATENATE("R6C",'Mapa final'!$O$28),"")</f>
        <v/>
      </c>
      <c r="AC21" s="44" t="str">
        <f ca="1">IF(AND('Mapa final'!$Y$29="Alta",'Mapa final'!$AA$29="Mayor"),CONCATENATE("R6C",'Mapa final'!$O$29),"")</f>
        <v/>
      </c>
      <c r="AD21" s="44" t="str">
        <f ca="1">IF(AND('Mapa final'!$Y$30="Alta",'Mapa final'!$AA$30="Mayor"),CONCATENATE("R6C",'Mapa final'!$O$30),"")</f>
        <v/>
      </c>
      <c r="AE21" s="44" t="str">
        <f>IF(AND('Mapa final'!$Y$31="Alta",'Mapa final'!$AA$31="Mayor"),CONCATENATE("R6C",'Mapa final'!$O$31),"")</f>
        <v/>
      </c>
      <c r="AF21" s="44" t="str">
        <f>IF(AND('Mapa final'!$Y$32="Alta",'Mapa final'!$AA$32="Mayor"),CONCATENATE("R6C",'Mapa final'!$O$32),"")</f>
        <v/>
      </c>
      <c r="AG21" s="45" t="str">
        <f>IF(AND('Mapa final'!$Y$33="Alta",'Mapa final'!$AA$33="Mayor"),CONCATENATE("R6C",'Mapa final'!$O$33),"")</f>
        <v/>
      </c>
      <c r="AH21" s="46" t="str">
        <f ca="1">IF(AND('Mapa final'!$Y$28="Alta",'Mapa final'!$AA$28="Catastrófico"),CONCATENATE("R6C",'Mapa final'!$O$28),"")</f>
        <v/>
      </c>
      <c r="AI21" s="47" t="str">
        <f ca="1">IF(AND('Mapa final'!$Y$29="Alta",'Mapa final'!$AA$29="Catastrófico"),CONCATENATE("R6C",'Mapa final'!$O$29),"")</f>
        <v/>
      </c>
      <c r="AJ21" s="47" t="str">
        <f ca="1">IF(AND('Mapa final'!$Y$30="Alta",'Mapa final'!$AA$30="Catastrófico"),CONCATENATE("R6C",'Mapa final'!$O$30),"")</f>
        <v/>
      </c>
      <c r="AK21" s="47" t="str">
        <f>IF(AND('Mapa final'!$Y$31="Alta",'Mapa final'!$AA$31="Catastrófico"),CONCATENATE("R6C",'Mapa final'!$O$31),"")</f>
        <v/>
      </c>
      <c r="AL21" s="47" t="str">
        <f>IF(AND('Mapa final'!$Y$32="Alta",'Mapa final'!$AA$32="Catastrófico"),CONCATENATE("R6C",'Mapa final'!$O$32),"")</f>
        <v/>
      </c>
      <c r="AM21" s="48" t="str">
        <f>IF(AND('Mapa final'!$Y$33="Alta",'Mapa final'!$AA$33="Catastrófico"),CONCATENATE("R6C",'Mapa final'!$O$33),"")</f>
        <v/>
      </c>
      <c r="AN21" s="74"/>
      <c r="AO21" s="326"/>
      <c r="AP21" s="327"/>
      <c r="AQ21" s="327"/>
      <c r="AR21" s="327"/>
      <c r="AS21" s="327"/>
      <c r="AT21" s="328"/>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row>
    <row r="22" spans="1:76" ht="15" customHeight="1" x14ac:dyDescent="0.25">
      <c r="A22" s="74"/>
      <c r="B22" s="237"/>
      <c r="C22" s="237"/>
      <c r="D22" s="238"/>
      <c r="E22" s="336"/>
      <c r="F22" s="335"/>
      <c r="G22" s="335"/>
      <c r="H22" s="335"/>
      <c r="I22" s="335"/>
      <c r="J22" s="58" t="str">
        <f ca="1">IF(AND('Mapa final'!$Y$34="Alta",'Mapa final'!$AA$34="Leve"),CONCATENATE("R7C",'Mapa final'!$O$34),"")</f>
        <v/>
      </c>
      <c r="K22" s="59" t="str">
        <f ca="1">IF(AND('Mapa final'!$Y$35="Alta",'Mapa final'!$AA$35="Leve"),CONCATENATE("R7C",'Mapa final'!$O$35),"")</f>
        <v/>
      </c>
      <c r="L22" s="59" t="str">
        <f ca="1">IF(AND('Mapa final'!$Y$36="Alta",'Mapa final'!$AA$36="Leve"),CONCATENATE("R7C",'Mapa final'!$O$36),"")</f>
        <v/>
      </c>
      <c r="M22" s="59" t="str">
        <f>IF(AND('Mapa final'!$Y$37="Alta",'Mapa final'!$AA$37="Leve"),CONCATENATE("R7C",'Mapa final'!$O$37),"")</f>
        <v/>
      </c>
      <c r="N22" s="59" t="str">
        <f>IF(AND('Mapa final'!$Y$38="Alta",'Mapa final'!$AA$38="Leve"),CONCATENATE("R7C",'Mapa final'!$O$38),"")</f>
        <v/>
      </c>
      <c r="O22" s="60" t="str">
        <f>IF(AND('Mapa final'!$Y$39="Alta",'Mapa final'!$AA$39="Leve"),CONCATENATE("R7C",'Mapa final'!$O$39),"")</f>
        <v/>
      </c>
      <c r="P22" s="58" t="str">
        <f ca="1">IF(AND('Mapa final'!$Y$34="Alta",'Mapa final'!$AA$34="Menor"),CONCATENATE("R7C",'Mapa final'!$O$34),"")</f>
        <v/>
      </c>
      <c r="Q22" s="59" t="str">
        <f ca="1">IF(AND('Mapa final'!$Y$35="Alta",'Mapa final'!$AA$35="Menor"),CONCATENATE("R7C",'Mapa final'!$O$35),"")</f>
        <v/>
      </c>
      <c r="R22" s="59" t="str">
        <f ca="1">IF(AND('Mapa final'!$Y$36="Alta",'Mapa final'!$AA$36="Menor"),CONCATENATE("R7C",'Mapa final'!$O$36),"")</f>
        <v/>
      </c>
      <c r="S22" s="59" t="str">
        <f>IF(AND('Mapa final'!$Y$37="Alta",'Mapa final'!$AA$37="Menor"),CONCATENATE("R7C",'Mapa final'!$O$37),"")</f>
        <v/>
      </c>
      <c r="T22" s="59" t="str">
        <f>IF(AND('Mapa final'!$Y$38="Alta",'Mapa final'!$AA$38="Menor"),CONCATENATE("R7C",'Mapa final'!$O$38),"")</f>
        <v/>
      </c>
      <c r="U22" s="60" t="str">
        <f>IF(AND('Mapa final'!$Y$39="Alta",'Mapa final'!$AA$39="Menor"),CONCATENATE("R7C",'Mapa final'!$O$39),"")</f>
        <v/>
      </c>
      <c r="V22" s="43" t="str">
        <f ca="1">IF(AND('Mapa final'!$Y$34="Alta",'Mapa final'!$AA$34="Moderado"),CONCATENATE("R7C",'Mapa final'!$O$34),"")</f>
        <v/>
      </c>
      <c r="W22" s="44" t="str">
        <f ca="1">IF(AND('Mapa final'!$Y$35="Alta",'Mapa final'!$AA$35="Moderado"),CONCATENATE("R7C",'Mapa final'!$O$35),"")</f>
        <v/>
      </c>
      <c r="X22" s="44" t="str">
        <f ca="1">IF(AND('Mapa final'!$Y$36="Alta",'Mapa final'!$AA$36="Moderado"),CONCATENATE("R7C",'Mapa final'!$O$36),"")</f>
        <v/>
      </c>
      <c r="Y22" s="44" t="str">
        <f>IF(AND('Mapa final'!$Y$37="Alta",'Mapa final'!$AA$37="Moderado"),CONCATENATE("R7C",'Mapa final'!$O$37),"")</f>
        <v/>
      </c>
      <c r="Z22" s="44" t="str">
        <f>IF(AND('Mapa final'!$Y$38="Alta",'Mapa final'!$AA$38="Moderado"),CONCATENATE("R7C",'Mapa final'!$O$38),"")</f>
        <v/>
      </c>
      <c r="AA22" s="45" t="str">
        <f>IF(AND('Mapa final'!$Y$39="Alta",'Mapa final'!$AA$39="Moderado"),CONCATENATE("R7C",'Mapa final'!$O$39),"")</f>
        <v/>
      </c>
      <c r="AB22" s="43" t="str">
        <f ca="1">IF(AND('Mapa final'!$Y$34="Alta",'Mapa final'!$AA$34="Mayor"),CONCATENATE("R7C",'Mapa final'!$O$34),"")</f>
        <v/>
      </c>
      <c r="AC22" s="44" t="str">
        <f ca="1">IF(AND('Mapa final'!$Y$35="Alta",'Mapa final'!$AA$35="Mayor"),CONCATENATE("R7C",'Mapa final'!$O$35),"")</f>
        <v/>
      </c>
      <c r="AD22" s="44" t="str">
        <f ca="1">IF(AND('Mapa final'!$Y$36="Alta",'Mapa final'!$AA$36="Mayor"),CONCATENATE("R7C",'Mapa final'!$O$36),"")</f>
        <v/>
      </c>
      <c r="AE22" s="44" t="str">
        <f>IF(AND('Mapa final'!$Y$37="Alta",'Mapa final'!$AA$37="Mayor"),CONCATENATE("R7C",'Mapa final'!$O$37),"")</f>
        <v/>
      </c>
      <c r="AF22" s="44" t="str">
        <f>IF(AND('Mapa final'!$Y$38="Alta",'Mapa final'!$AA$38="Mayor"),CONCATENATE("R7C",'Mapa final'!$O$38),"")</f>
        <v/>
      </c>
      <c r="AG22" s="45" t="str">
        <f>IF(AND('Mapa final'!$Y$39="Alta",'Mapa final'!$AA$39="Mayor"),CONCATENATE("R7C",'Mapa final'!$O$39),"")</f>
        <v/>
      </c>
      <c r="AH22" s="46" t="str">
        <f ca="1">IF(AND('Mapa final'!$Y$34="Alta",'Mapa final'!$AA$34="Catastrófico"),CONCATENATE("R7C",'Mapa final'!$O$34),"")</f>
        <v/>
      </c>
      <c r="AI22" s="47" t="str">
        <f ca="1">IF(AND('Mapa final'!$Y$35="Alta",'Mapa final'!$AA$35="Catastrófico"),CONCATENATE("R7C",'Mapa final'!$O$35),"")</f>
        <v/>
      </c>
      <c r="AJ22" s="47" t="str">
        <f ca="1">IF(AND('Mapa final'!$Y$36="Alta",'Mapa final'!$AA$36="Catastrófico"),CONCATENATE("R7C",'Mapa final'!$O$36),"")</f>
        <v/>
      </c>
      <c r="AK22" s="47" t="str">
        <f>IF(AND('Mapa final'!$Y$37="Alta",'Mapa final'!$AA$37="Catastrófico"),CONCATENATE("R7C",'Mapa final'!$O$37),"")</f>
        <v/>
      </c>
      <c r="AL22" s="47" t="str">
        <f>IF(AND('Mapa final'!$Y$38="Alta",'Mapa final'!$AA$38="Catastrófico"),CONCATENATE("R7C",'Mapa final'!$O$38),"")</f>
        <v/>
      </c>
      <c r="AM22" s="48" t="str">
        <f>IF(AND('Mapa final'!$Y$39="Alta",'Mapa final'!$AA$39="Catastrófico"),CONCATENATE("R7C",'Mapa final'!$O$39),"")</f>
        <v/>
      </c>
      <c r="AN22" s="74"/>
      <c r="AO22" s="326"/>
      <c r="AP22" s="327"/>
      <c r="AQ22" s="327"/>
      <c r="AR22" s="327"/>
      <c r="AS22" s="327"/>
      <c r="AT22" s="328"/>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row>
    <row r="23" spans="1:76" ht="15" customHeight="1" x14ac:dyDescent="0.25">
      <c r="A23" s="74"/>
      <c r="B23" s="237"/>
      <c r="C23" s="237"/>
      <c r="D23" s="238"/>
      <c r="E23" s="336"/>
      <c r="F23" s="335"/>
      <c r="G23" s="335"/>
      <c r="H23" s="335"/>
      <c r="I23" s="335"/>
      <c r="J23" s="58" t="str">
        <f ca="1">IF(AND('Mapa final'!$Y$40="Alta",'Mapa final'!$AA$40="Leve"),CONCATENATE("R8C",'Mapa final'!$O$40),"")</f>
        <v/>
      </c>
      <c r="K23" s="59" t="str">
        <f>IF(AND('Mapa final'!$Y$41="Alta",'Mapa final'!$AA$41="Leve"),CONCATENATE("R8C",'Mapa final'!$O$41),"")</f>
        <v/>
      </c>
      <c r="L23" s="59" t="str">
        <f>IF(AND('Mapa final'!$Y$42="Alta",'Mapa final'!$AA$42="Leve"),CONCATENATE("R8C",'Mapa final'!$O$42),"")</f>
        <v/>
      </c>
      <c r="M23" s="59" t="str">
        <f>IF(AND('Mapa final'!$Y$43="Alta",'Mapa final'!$AA$43="Leve"),CONCATENATE("R8C",'Mapa final'!$O$43),"")</f>
        <v/>
      </c>
      <c r="N23" s="59" t="str">
        <f>IF(AND('Mapa final'!$Y$44="Alta",'Mapa final'!$AA$44="Leve"),CONCATENATE("R8C",'Mapa final'!$O$44),"")</f>
        <v/>
      </c>
      <c r="O23" s="60" t="str">
        <f>IF(AND('Mapa final'!$Y$45="Alta",'Mapa final'!$AA$45="Leve"),CONCATENATE("R8C",'Mapa final'!$O$45),"")</f>
        <v/>
      </c>
      <c r="P23" s="58" t="str">
        <f ca="1">IF(AND('Mapa final'!$Y$40="Alta",'Mapa final'!$AA$40="Menor"),CONCATENATE("R8C",'Mapa final'!$O$40),"")</f>
        <v/>
      </c>
      <c r="Q23" s="59" t="str">
        <f>IF(AND('Mapa final'!$Y$41="Alta",'Mapa final'!$AA$41="Menor"),CONCATENATE("R8C",'Mapa final'!$O$41),"")</f>
        <v/>
      </c>
      <c r="R23" s="59" t="str">
        <f>IF(AND('Mapa final'!$Y$42="Alta",'Mapa final'!$AA$42="Menor"),CONCATENATE("R8C",'Mapa final'!$O$42),"")</f>
        <v/>
      </c>
      <c r="S23" s="59" t="str">
        <f>IF(AND('Mapa final'!$Y$43="Alta",'Mapa final'!$AA$43="Menor"),CONCATENATE("R8C",'Mapa final'!$O$43),"")</f>
        <v/>
      </c>
      <c r="T23" s="59" t="str">
        <f>IF(AND('Mapa final'!$Y$44="Alta",'Mapa final'!$AA$44="Menor"),CONCATENATE("R8C",'Mapa final'!$O$44),"")</f>
        <v/>
      </c>
      <c r="U23" s="60" t="str">
        <f>IF(AND('Mapa final'!$Y$45="Alta",'Mapa final'!$AA$45="Menor"),CONCATENATE("R8C",'Mapa final'!$O$45),"")</f>
        <v/>
      </c>
      <c r="V23" s="43" t="str">
        <f ca="1">IF(AND('Mapa final'!$Y$40="Alta",'Mapa final'!$AA$40="Moderado"),CONCATENATE("R8C",'Mapa final'!$O$40),"")</f>
        <v/>
      </c>
      <c r="W23" s="44" t="str">
        <f>IF(AND('Mapa final'!$Y$41="Alta",'Mapa final'!$AA$41="Moderado"),CONCATENATE("R8C",'Mapa final'!$O$41),"")</f>
        <v/>
      </c>
      <c r="X23" s="44" t="str">
        <f>IF(AND('Mapa final'!$Y$42="Alta",'Mapa final'!$AA$42="Moderado"),CONCATENATE("R8C",'Mapa final'!$O$42),"")</f>
        <v/>
      </c>
      <c r="Y23" s="44" t="str">
        <f>IF(AND('Mapa final'!$Y$43="Alta",'Mapa final'!$AA$43="Moderado"),CONCATENATE("R8C",'Mapa final'!$O$43),"")</f>
        <v/>
      </c>
      <c r="Z23" s="44" t="str">
        <f>IF(AND('Mapa final'!$Y$44="Alta",'Mapa final'!$AA$44="Moderado"),CONCATENATE("R8C",'Mapa final'!$O$44),"")</f>
        <v/>
      </c>
      <c r="AA23" s="45" t="str">
        <f>IF(AND('Mapa final'!$Y$45="Alta",'Mapa final'!$AA$45="Moderado"),CONCATENATE("R8C",'Mapa final'!$O$45),"")</f>
        <v/>
      </c>
      <c r="AB23" s="43" t="str">
        <f ca="1">IF(AND('Mapa final'!$Y$40="Alta",'Mapa final'!$AA$40="Mayor"),CONCATENATE("R8C",'Mapa final'!$O$40),"")</f>
        <v/>
      </c>
      <c r="AC23" s="44" t="str">
        <f>IF(AND('Mapa final'!$Y$41="Alta",'Mapa final'!$AA$41="Mayor"),CONCATENATE("R8C",'Mapa final'!$O$41),"")</f>
        <v/>
      </c>
      <c r="AD23" s="44" t="str">
        <f>IF(AND('Mapa final'!$Y$42="Alta",'Mapa final'!$AA$42="Mayor"),CONCATENATE("R8C",'Mapa final'!$O$42),"")</f>
        <v/>
      </c>
      <c r="AE23" s="44" t="str">
        <f>IF(AND('Mapa final'!$Y$43="Alta",'Mapa final'!$AA$43="Mayor"),CONCATENATE("R8C",'Mapa final'!$O$43),"")</f>
        <v/>
      </c>
      <c r="AF23" s="44" t="str">
        <f>IF(AND('Mapa final'!$Y$44="Alta",'Mapa final'!$AA$44="Mayor"),CONCATENATE("R8C",'Mapa final'!$O$44),"")</f>
        <v/>
      </c>
      <c r="AG23" s="45" t="str">
        <f>IF(AND('Mapa final'!$Y$45="Alta",'Mapa final'!$AA$45="Mayor"),CONCATENATE("R8C",'Mapa final'!$O$45),"")</f>
        <v/>
      </c>
      <c r="AH23" s="46" t="str">
        <f ca="1">IF(AND('Mapa final'!$Y$40="Alta",'Mapa final'!$AA$40="Catastrófico"),CONCATENATE("R8C",'Mapa final'!$O$40),"")</f>
        <v/>
      </c>
      <c r="AI23" s="47" t="str">
        <f>IF(AND('Mapa final'!$Y$41="Alta",'Mapa final'!$AA$41="Catastrófico"),CONCATENATE("R8C",'Mapa final'!$O$41),"")</f>
        <v/>
      </c>
      <c r="AJ23" s="47" t="str">
        <f>IF(AND('Mapa final'!$Y$42="Alta",'Mapa final'!$AA$42="Catastrófico"),CONCATENATE("R8C",'Mapa final'!$O$42),"")</f>
        <v/>
      </c>
      <c r="AK23" s="47" t="str">
        <f>IF(AND('Mapa final'!$Y$43="Alta",'Mapa final'!$AA$43="Catastrófico"),CONCATENATE("R8C",'Mapa final'!$O$43),"")</f>
        <v/>
      </c>
      <c r="AL23" s="47" t="str">
        <f>IF(AND('Mapa final'!$Y$44="Alta",'Mapa final'!$AA$44="Catastrófico"),CONCATENATE("R8C",'Mapa final'!$O$44),"")</f>
        <v/>
      </c>
      <c r="AM23" s="48" t="str">
        <f>IF(AND('Mapa final'!$Y$45="Alta",'Mapa final'!$AA$45="Catastrófico"),CONCATENATE("R8C",'Mapa final'!$O$45),"")</f>
        <v/>
      </c>
      <c r="AN23" s="74"/>
      <c r="AO23" s="326"/>
      <c r="AP23" s="327"/>
      <c r="AQ23" s="327"/>
      <c r="AR23" s="327"/>
      <c r="AS23" s="327"/>
      <c r="AT23" s="328"/>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row>
    <row r="24" spans="1:76" ht="15" customHeight="1" x14ac:dyDescent="0.25">
      <c r="A24" s="74"/>
      <c r="B24" s="237"/>
      <c r="C24" s="237"/>
      <c r="D24" s="238"/>
      <c r="E24" s="336"/>
      <c r="F24" s="335"/>
      <c r="G24" s="335"/>
      <c r="H24" s="335"/>
      <c r="I24" s="335"/>
      <c r="J24" s="58" t="str">
        <f>IF(AND('Mapa final'!$Y$46="Alta",'Mapa final'!$AA$46="Leve"),CONCATENATE("R9C",'Mapa final'!$O$46),"")</f>
        <v/>
      </c>
      <c r="K24" s="59" t="str">
        <f>IF(AND('Mapa final'!$Y$47="Alta",'Mapa final'!$AA$47="Leve"),CONCATENATE("R9C",'Mapa final'!$O$47),"")</f>
        <v/>
      </c>
      <c r="L24" s="59" t="str">
        <f>IF(AND('Mapa final'!$Y$48="Alta",'Mapa final'!$AA$48="Leve"),CONCATENATE("R9C",'Mapa final'!$O$48),"")</f>
        <v/>
      </c>
      <c r="M24" s="59" t="str">
        <f>IF(AND('Mapa final'!$Y$49="Alta",'Mapa final'!$AA$49="Leve"),CONCATENATE("R9C",'Mapa final'!$O$49),"")</f>
        <v/>
      </c>
      <c r="N24" s="59" t="str">
        <f>IF(AND('Mapa final'!$Y$50="Alta",'Mapa final'!$AA$50="Leve"),CONCATENATE("R9C",'Mapa final'!$O$50),"")</f>
        <v/>
      </c>
      <c r="O24" s="60" t="str">
        <f>IF(AND('Mapa final'!$Y$51="Alta",'Mapa final'!$AA$51="Leve"),CONCATENATE("R9C",'Mapa final'!$O$51),"")</f>
        <v/>
      </c>
      <c r="P24" s="58" t="str">
        <f>IF(AND('Mapa final'!$Y$46="Alta",'Mapa final'!$AA$46="Menor"),CONCATENATE("R9C",'Mapa final'!$O$46),"")</f>
        <v/>
      </c>
      <c r="Q24" s="59" t="str">
        <f>IF(AND('Mapa final'!$Y$47="Alta",'Mapa final'!$AA$47="Menor"),CONCATENATE("R9C",'Mapa final'!$O$47),"")</f>
        <v/>
      </c>
      <c r="R24" s="59" t="str">
        <f>IF(AND('Mapa final'!$Y$48="Alta",'Mapa final'!$AA$48="Menor"),CONCATENATE("R9C",'Mapa final'!$O$48),"")</f>
        <v/>
      </c>
      <c r="S24" s="59" t="str">
        <f>IF(AND('Mapa final'!$Y$49="Alta",'Mapa final'!$AA$49="Menor"),CONCATENATE("R9C",'Mapa final'!$O$49),"")</f>
        <v/>
      </c>
      <c r="T24" s="59" t="str">
        <f>IF(AND('Mapa final'!$Y$50="Alta",'Mapa final'!$AA$50="Menor"),CONCATENATE("R9C",'Mapa final'!$O$50),"")</f>
        <v/>
      </c>
      <c r="U24" s="60" t="str">
        <f>IF(AND('Mapa final'!$Y$51="Alta",'Mapa final'!$AA$51="Menor"),CONCATENATE("R9C",'Mapa final'!$O$51),"")</f>
        <v/>
      </c>
      <c r="V24" s="43" t="str">
        <f>IF(AND('Mapa final'!$Y$46="Alta",'Mapa final'!$AA$46="Moderado"),CONCATENATE("R9C",'Mapa final'!$O$46),"")</f>
        <v/>
      </c>
      <c r="W24" s="44" t="str">
        <f>IF(AND('Mapa final'!$Y$47="Alta",'Mapa final'!$AA$47="Moderado"),CONCATENATE("R9C",'Mapa final'!$O$47),"")</f>
        <v/>
      </c>
      <c r="X24" s="44" t="str">
        <f>IF(AND('Mapa final'!$Y$48="Alta",'Mapa final'!$AA$48="Moderado"),CONCATENATE("R9C",'Mapa final'!$O$48),"")</f>
        <v/>
      </c>
      <c r="Y24" s="44" t="str">
        <f>IF(AND('Mapa final'!$Y$49="Alta",'Mapa final'!$AA$49="Moderado"),CONCATENATE("R9C",'Mapa final'!$O$49),"")</f>
        <v/>
      </c>
      <c r="Z24" s="44" t="str">
        <f>IF(AND('Mapa final'!$Y$50="Alta",'Mapa final'!$AA$50="Moderado"),CONCATENATE("R9C",'Mapa final'!$O$50),"")</f>
        <v/>
      </c>
      <c r="AA24" s="45" t="str">
        <f>IF(AND('Mapa final'!$Y$51="Alta",'Mapa final'!$AA$51="Moderado"),CONCATENATE("R9C",'Mapa final'!$O$51),"")</f>
        <v/>
      </c>
      <c r="AB24" s="43" t="str">
        <f>IF(AND('Mapa final'!$Y$46="Alta",'Mapa final'!$AA$46="Mayor"),CONCATENATE("R9C",'Mapa final'!$O$46),"")</f>
        <v/>
      </c>
      <c r="AC24" s="44" t="str">
        <f>IF(AND('Mapa final'!$Y$47="Alta",'Mapa final'!$AA$47="Mayor"),CONCATENATE("R9C",'Mapa final'!$O$47),"")</f>
        <v/>
      </c>
      <c r="AD24" s="44" t="str">
        <f>IF(AND('Mapa final'!$Y$48="Alta",'Mapa final'!$AA$48="Mayor"),CONCATENATE("R9C",'Mapa final'!$O$48),"")</f>
        <v/>
      </c>
      <c r="AE24" s="44" t="str">
        <f>IF(AND('Mapa final'!$Y$49="Alta",'Mapa final'!$AA$49="Mayor"),CONCATENATE("R9C",'Mapa final'!$O$49),"")</f>
        <v/>
      </c>
      <c r="AF24" s="44" t="str">
        <f>IF(AND('Mapa final'!$Y$50="Alta",'Mapa final'!$AA$50="Mayor"),CONCATENATE("R9C",'Mapa final'!$O$50),"")</f>
        <v/>
      </c>
      <c r="AG24" s="45" t="str">
        <f>IF(AND('Mapa final'!$Y$51="Alta",'Mapa final'!$AA$51="Mayor"),CONCATENATE("R9C",'Mapa final'!$O$51),"")</f>
        <v/>
      </c>
      <c r="AH24" s="46" t="str">
        <f>IF(AND('Mapa final'!$Y$46="Alta",'Mapa final'!$AA$46="Catastrófico"),CONCATENATE("R9C",'Mapa final'!$O$46),"")</f>
        <v/>
      </c>
      <c r="AI24" s="47" t="str">
        <f>IF(AND('Mapa final'!$Y$47="Alta",'Mapa final'!$AA$47="Catastrófico"),CONCATENATE("R9C",'Mapa final'!$O$47),"")</f>
        <v/>
      </c>
      <c r="AJ24" s="47" t="str">
        <f>IF(AND('Mapa final'!$Y$48="Alta",'Mapa final'!$AA$48="Catastrófico"),CONCATENATE("R9C",'Mapa final'!$O$48),"")</f>
        <v/>
      </c>
      <c r="AK24" s="47" t="str">
        <f>IF(AND('Mapa final'!$Y$49="Alta",'Mapa final'!$AA$49="Catastrófico"),CONCATENATE("R9C",'Mapa final'!$O$49),"")</f>
        <v/>
      </c>
      <c r="AL24" s="47" t="str">
        <f>IF(AND('Mapa final'!$Y$50="Alta",'Mapa final'!$AA$50="Catastrófico"),CONCATENATE("R9C",'Mapa final'!$O$50),"")</f>
        <v/>
      </c>
      <c r="AM24" s="48" t="str">
        <f>IF(AND('Mapa final'!$Y$51="Alta",'Mapa final'!$AA$51="Catastrófico"),CONCATENATE("R9C",'Mapa final'!$O$51),"")</f>
        <v/>
      </c>
      <c r="AN24" s="74"/>
      <c r="AO24" s="326"/>
      <c r="AP24" s="327"/>
      <c r="AQ24" s="327"/>
      <c r="AR24" s="327"/>
      <c r="AS24" s="327"/>
      <c r="AT24" s="328"/>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row>
    <row r="25" spans="1:76" ht="15.75" customHeight="1" thickBot="1" x14ac:dyDescent="0.3">
      <c r="A25" s="74"/>
      <c r="B25" s="237"/>
      <c r="C25" s="237"/>
      <c r="D25" s="238"/>
      <c r="E25" s="337"/>
      <c r="F25" s="338"/>
      <c r="G25" s="338"/>
      <c r="H25" s="338"/>
      <c r="I25" s="338"/>
      <c r="J25" s="61" t="str">
        <f>IF(AND('Mapa final'!$Y$52="Alta",'Mapa final'!$AA$52="Leve"),CONCATENATE("R10C",'Mapa final'!$O$52),"")</f>
        <v/>
      </c>
      <c r="K25" s="62" t="str">
        <f>IF(AND('Mapa final'!$Y$53="Alta",'Mapa final'!$AA$53="Leve"),CONCATENATE("R10C",'Mapa final'!$O$53),"")</f>
        <v/>
      </c>
      <c r="L25" s="62" t="str">
        <f>IF(AND('Mapa final'!$Y$54="Alta",'Mapa final'!$AA$54="Leve"),CONCATENATE("R10C",'Mapa final'!$O$54),"")</f>
        <v/>
      </c>
      <c r="M25" s="62" t="str">
        <f>IF(AND('Mapa final'!$Y$55="Alta",'Mapa final'!$AA$55="Leve"),CONCATENATE("R10C",'Mapa final'!$O$55),"")</f>
        <v/>
      </c>
      <c r="N25" s="62" t="str">
        <f>IF(AND('Mapa final'!$Y$56="Alta",'Mapa final'!$AA$56="Leve"),CONCATENATE("R10C",'Mapa final'!$O$56),"")</f>
        <v/>
      </c>
      <c r="O25" s="63" t="str">
        <f>IF(AND('Mapa final'!$Y$57="Alta",'Mapa final'!$AA$57="Leve"),CONCATENATE("R10C",'Mapa final'!$O$57),"")</f>
        <v/>
      </c>
      <c r="P25" s="61" t="str">
        <f>IF(AND('Mapa final'!$Y$52="Alta",'Mapa final'!$AA$52="Menor"),CONCATENATE("R10C",'Mapa final'!$O$52),"")</f>
        <v/>
      </c>
      <c r="Q25" s="62" t="str">
        <f>IF(AND('Mapa final'!$Y$53="Alta",'Mapa final'!$AA$53="Menor"),CONCATENATE("R10C",'Mapa final'!$O$53),"")</f>
        <v/>
      </c>
      <c r="R25" s="62" t="str">
        <f>IF(AND('Mapa final'!$Y$54="Alta",'Mapa final'!$AA$54="Menor"),CONCATENATE("R10C",'Mapa final'!$O$54),"")</f>
        <v/>
      </c>
      <c r="S25" s="62" t="str">
        <f>IF(AND('Mapa final'!$Y$55="Alta",'Mapa final'!$AA$55="Menor"),CONCATENATE("R10C",'Mapa final'!$O$55),"")</f>
        <v/>
      </c>
      <c r="T25" s="62" t="str">
        <f>IF(AND('Mapa final'!$Y$56="Alta",'Mapa final'!$AA$56="Menor"),CONCATENATE("R10C",'Mapa final'!$O$56),"")</f>
        <v/>
      </c>
      <c r="U25" s="63" t="str">
        <f>IF(AND('Mapa final'!$Y$57="Alta",'Mapa final'!$AA$57="Menor"),CONCATENATE("R10C",'Mapa final'!$O$57),"")</f>
        <v/>
      </c>
      <c r="V25" s="49" t="str">
        <f>IF(AND('Mapa final'!$Y$52="Alta",'Mapa final'!$AA$52="Moderado"),CONCATENATE("R10C",'Mapa final'!$O$52),"")</f>
        <v/>
      </c>
      <c r="W25" s="50" t="str">
        <f>IF(AND('Mapa final'!$Y$53="Alta",'Mapa final'!$AA$53="Moderado"),CONCATENATE("R10C",'Mapa final'!$O$53),"")</f>
        <v/>
      </c>
      <c r="X25" s="50" t="str">
        <f>IF(AND('Mapa final'!$Y$54="Alta",'Mapa final'!$AA$54="Moderado"),CONCATENATE("R10C",'Mapa final'!$O$54),"")</f>
        <v/>
      </c>
      <c r="Y25" s="50" t="str">
        <f>IF(AND('Mapa final'!$Y$55="Alta",'Mapa final'!$AA$55="Moderado"),CONCATENATE("R10C",'Mapa final'!$O$55),"")</f>
        <v/>
      </c>
      <c r="Z25" s="50" t="str">
        <f>IF(AND('Mapa final'!$Y$56="Alta",'Mapa final'!$AA$56="Moderado"),CONCATENATE("R10C",'Mapa final'!$O$56),"")</f>
        <v/>
      </c>
      <c r="AA25" s="51" t="str">
        <f>IF(AND('Mapa final'!$Y$57="Alta",'Mapa final'!$AA$57="Moderado"),CONCATENATE("R10C",'Mapa final'!$O$57),"")</f>
        <v/>
      </c>
      <c r="AB25" s="49" t="str">
        <f>IF(AND('Mapa final'!$Y$52="Alta",'Mapa final'!$AA$52="Mayor"),CONCATENATE("R10C",'Mapa final'!$O$52),"")</f>
        <v/>
      </c>
      <c r="AC25" s="50" t="str">
        <f>IF(AND('Mapa final'!$Y$53="Alta",'Mapa final'!$AA$53="Mayor"),CONCATENATE("R10C",'Mapa final'!$O$53),"")</f>
        <v/>
      </c>
      <c r="AD25" s="50" t="str">
        <f>IF(AND('Mapa final'!$Y$54="Alta",'Mapa final'!$AA$54="Mayor"),CONCATENATE("R10C",'Mapa final'!$O$54),"")</f>
        <v/>
      </c>
      <c r="AE25" s="50" t="str">
        <f>IF(AND('Mapa final'!$Y$55="Alta",'Mapa final'!$AA$55="Mayor"),CONCATENATE("R10C",'Mapa final'!$O$55),"")</f>
        <v/>
      </c>
      <c r="AF25" s="50" t="str">
        <f>IF(AND('Mapa final'!$Y$56="Alta",'Mapa final'!$AA$56="Mayor"),CONCATENATE("R10C",'Mapa final'!$O$56),"")</f>
        <v/>
      </c>
      <c r="AG25" s="51" t="str">
        <f>IF(AND('Mapa final'!$Y$57="Alta",'Mapa final'!$AA$57="Mayor"),CONCATENATE("R10C",'Mapa final'!$O$57),"")</f>
        <v/>
      </c>
      <c r="AH25" s="52" t="str">
        <f>IF(AND('Mapa final'!$Y$52="Alta",'Mapa final'!$AA$52="Catastrófico"),CONCATENATE("R10C",'Mapa final'!$O$52),"")</f>
        <v/>
      </c>
      <c r="AI25" s="53" t="str">
        <f>IF(AND('Mapa final'!$Y$53="Alta",'Mapa final'!$AA$53="Catastrófico"),CONCATENATE("R10C",'Mapa final'!$O$53),"")</f>
        <v/>
      </c>
      <c r="AJ25" s="53" t="str">
        <f>IF(AND('Mapa final'!$Y$54="Alta",'Mapa final'!$AA$54="Catastrófico"),CONCATENATE("R10C",'Mapa final'!$O$54),"")</f>
        <v/>
      </c>
      <c r="AK25" s="53" t="str">
        <f>IF(AND('Mapa final'!$Y$55="Alta",'Mapa final'!$AA$55="Catastrófico"),CONCATENATE("R10C",'Mapa final'!$O$55),"")</f>
        <v/>
      </c>
      <c r="AL25" s="53" t="str">
        <f>IF(AND('Mapa final'!$Y$56="Alta",'Mapa final'!$AA$56="Catastrófico"),CONCATENATE("R10C",'Mapa final'!$O$56),"")</f>
        <v/>
      </c>
      <c r="AM25" s="54" t="str">
        <f>IF(AND('Mapa final'!$Y$57="Alta",'Mapa final'!$AA$57="Catastrófico"),CONCATENATE("R10C",'Mapa final'!$O$57),"")</f>
        <v/>
      </c>
      <c r="AN25" s="74"/>
      <c r="AO25" s="329"/>
      <c r="AP25" s="330"/>
      <c r="AQ25" s="330"/>
      <c r="AR25" s="330"/>
      <c r="AS25" s="330"/>
      <c r="AT25" s="331"/>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row>
    <row r="26" spans="1:76" ht="15" customHeight="1" x14ac:dyDescent="0.25">
      <c r="A26" s="74"/>
      <c r="B26" s="237"/>
      <c r="C26" s="237"/>
      <c r="D26" s="238"/>
      <c r="E26" s="332" t="s">
        <v>115</v>
      </c>
      <c r="F26" s="333"/>
      <c r="G26" s="333"/>
      <c r="H26" s="333"/>
      <c r="I26" s="350"/>
      <c r="J26" s="55" t="e">
        <f>IF(AND('Mapa final'!#REF!="Media",'Mapa final'!#REF!="Leve"),CONCATENATE("R1C",'Mapa final'!#REF!),"")</f>
        <v>#REF!</v>
      </c>
      <c r="K26" s="56" t="e">
        <f>IF(AND('Mapa final'!#REF!="Media",'Mapa final'!#REF!="Leve"),CONCATENATE("R1C",'Mapa final'!#REF!),"")</f>
        <v>#REF!</v>
      </c>
      <c r="L26" s="56" t="e">
        <f>IF(AND('Mapa final'!#REF!="Media",'Mapa final'!#REF!="Leve"),CONCATENATE("R1C",'Mapa final'!#REF!),"")</f>
        <v>#REF!</v>
      </c>
      <c r="M26" s="56" t="e">
        <f>IF(AND('Mapa final'!#REF!="Media",'Mapa final'!#REF!="Leve"),CONCATENATE("R1C",'Mapa final'!#REF!),"")</f>
        <v>#REF!</v>
      </c>
      <c r="N26" s="56" t="e">
        <f>IF(AND('Mapa final'!#REF!="Media",'Mapa final'!#REF!="Leve"),CONCATENATE("R1C",'Mapa final'!#REF!),"")</f>
        <v>#REF!</v>
      </c>
      <c r="O26" s="57" t="e">
        <f>IF(AND('Mapa final'!#REF!="Media",'Mapa final'!#REF!="Leve"),CONCATENATE("R1C",'Mapa final'!#REF!),"")</f>
        <v>#REF!</v>
      </c>
      <c r="P26" s="55" t="e">
        <f>IF(AND('Mapa final'!#REF!="Media",'Mapa final'!#REF!="Menor"),CONCATENATE("R1C",'Mapa final'!#REF!),"")</f>
        <v>#REF!</v>
      </c>
      <c r="Q26" s="56" t="e">
        <f>IF(AND('Mapa final'!#REF!="Media",'Mapa final'!#REF!="Menor"),CONCATENATE("R1C",'Mapa final'!#REF!),"")</f>
        <v>#REF!</v>
      </c>
      <c r="R26" s="56" t="e">
        <f>IF(AND('Mapa final'!#REF!="Media",'Mapa final'!#REF!="Menor"),CONCATENATE("R1C",'Mapa final'!#REF!),"")</f>
        <v>#REF!</v>
      </c>
      <c r="S26" s="56" t="e">
        <f>IF(AND('Mapa final'!#REF!="Media",'Mapa final'!#REF!="Menor"),CONCATENATE("R1C",'Mapa final'!#REF!),"")</f>
        <v>#REF!</v>
      </c>
      <c r="T26" s="56" t="e">
        <f>IF(AND('Mapa final'!#REF!="Media",'Mapa final'!#REF!="Menor"),CONCATENATE("R1C",'Mapa final'!#REF!),"")</f>
        <v>#REF!</v>
      </c>
      <c r="U26" s="57" t="e">
        <f>IF(AND('Mapa final'!#REF!="Media",'Mapa final'!#REF!="Menor"),CONCATENATE("R1C",'Mapa final'!#REF!),"")</f>
        <v>#REF!</v>
      </c>
      <c r="V26" s="55" t="e">
        <f>IF(AND('Mapa final'!#REF!="Media",'Mapa final'!#REF!="Moderado"),CONCATENATE("R1C",'Mapa final'!#REF!),"")</f>
        <v>#REF!</v>
      </c>
      <c r="W26" s="56" t="e">
        <f>IF(AND('Mapa final'!#REF!="Media",'Mapa final'!#REF!="Moderado"),CONCATENATE("R1C",'Mapa final'!#REF!),"")</f>
        <v>#REF!</v>
      </c>
      <c r="X26" s="56" t="e">
        <f>IF(AND('Mapa final'!#REF!="Media",'Mapa final'!#REF!="Moderado"),CONCATENATE("R1C",'Mapa final'!#REF!),"")</f>
        <v>#REF!</v>
      </c>
      <c r="Y26" s="56" t="e">
        <f>IF(AND('Mapa final'!#REF!="Media",'Mapa final'!#REF!="Moderado"),CONCATENATE("R1C",'Mapa final'!#REF!),"")</f>
        <v>#REF!</v>
      </c>
      <c r="Z26" s="56" t="e">
        <f>IF(AND('Mapa final'!#REF!="Media",'Mapa final'!#REF!="Moderado"),CONCATENATE("R1C",'Mapa final'!#REF!),"")</f>
        <v>#REF!</v>
      </c>
      <c r="AA26" s="57" t="e">
        <f>IF(AND('Mapa final'!#REF!="Media",'Mapa final'!#REF!="Moderado"),CONCATENATE("R1C",'Mapa final'!#REF!),"")</f>
        <v>#REF!</v>
      </c>
      <c r="AB26" s="37" t="e">
        <f>IF(AND('Mapa final'!#REF!="Media",'Mapa final'!#REF!="Mayor"),CONCATENATE("R1C",'Mapa final'!#REF!),"")</f>
        <v>#REF!</v>
      </c>
      <c r="AC26" s="38" t="e">
        <f>IF(AND('Mapa final'!#REF!="Media",'Mapa final'!#REF!="Mayor"),CONCATENATE("R1C",'Mapa final'!#REF!),"")</f>
        <v>#REF!</v>
      </c>
      <c r="AD26" s="38" t="e">
        <f>IF(AND('Mapa final'!#REF!="Media",'Mapa final'!#REF!="Mayor"),CONCATENATE("R1C",'Mapa final'!#REF!),"")</f>
        <v>#REF!</v>
      </c>
      <c r="AE26" s="38" t="e">
        <f>IF(AND('Mapa final'!#REF!="Media",'Mapa final'!#REF!="Mayor"),CONCATENATE("R1C",'Mapa final'!#REF!),"")</f>
        <v>#REF!</v>
      </c>
      <c r="AF26" s="38" t="e">
        <f>IF(AND('Mapa final'!#REF!="Media",'Mapa final'!#REF!="Mayor"),CONCATENATE("R1C",'Mapa final'!#REF!),"")</f>
        <v>#REF!</v>
      </c>
      <c r="AG26" s="39" t="e">
        <f>IF(AND('Mapa final'!#REF!="Media",'Mapa final'!#REF!="Mayor"),CONCATENATE("R1C",'Mapa final'!#REF!),"")</f>
        <v>#REF!</v>
      </c>
      <c r="AH26" s="40" t="e">
        <f>IF(AND('Mapa final'!#REF!="Media",'Mapa final'!#REF!="Catastrófico"),CONCATENATE("R1C",'Mapa final'!#REF!),"")</f>
        <v>#REF!</v>
      </c>
      <c r="AI26" s="41" t="e">
        <f>IF(AND('Mapa final'!#REF!="Media",'Mapa final'!#REF!="Catastrófico"),CONCATENATE("R1C",'Mapa final'!#REF!),"")</f>
        <v>#REF!</v>
      </c>
      <c r="AJ26" s="41" t="e">
        <f>IF(AND('Mapa final'!#REF!="Media",'Mapa final'!#REF!="Catastrófico"),CONCATENATE("R1C",'Mapa final'!#REF!),"")</f>
        <v>#REF!</v>
      </c>
      <c r="AK26" s="41" t="e">
        <f>IF(AND('Mapa final'!#REF!="Media",'Mapa final'!#REF!="Catastrófico"),CONCATENATE("R1C",'Mapa final'!#REF!),"")</f>
        <v>#REF!</v>
      </c>
      <c r="AL26" s="41" t="e">
        <f>IF(AND('Mapa final'!#REF!="Media",'Mapa final'!#REF!="Catastrófico"),CONCATENATE("R1C",'Mapa final'!#REF!),"")</f>
        <v>#REF!</v>
      </c>
      <c r="AM26" s="42" t="e">
        <f>IF(AND('Mapa final'!#REF!="Media",'Mapa final'!#REF!="Catastrófico"),CONCATENATE("R1C",'Mapa final'!#REF!),"")</f>
        <v>#REF!</v>
      </c>
      <c r="AN26" s="74"/>
      <c r="AO26" s="362" t="s">
        <v>81</v>
      </c>
      <c r="AP26" s="363"/>
      <c r="AQ26" s="363"/>
      <c r="AR26" s="363"/>
      <c r="AS26" s="363"/>
      <c r="AT26" s="36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row>
    <row r="27" spans="1:76" ht="15" customHeight="1" x14ac:dyDescent="0.25">
      <c r="A27" s="74"/>
      <c r="B27" s="237"/>
      <c r="C27" s="237"/>
      <c r="D27" s="238"/>
      <c r="E27" s="334"/>
      <c r="F27" s="335"/>
      <c r="G27" s="335"/>
      <c r="H27" s="335"/>
      <c r="I27" s="351"/>
      <c r="J27" s="58" t="e">
        <f>IF(AND('Mapa final'!#REF!="Media",'Mapa final'!#REF!="Leve"),CONCATENATE("R2C",'Mapa final'!#REF!),"")</f>
        <v>#REF!</v>
      </c>
      <c r="K27" s="59" t="e">
        <f>IF(AND('Mapa final'!#REF!="Media",'Mapa final'!#REF!="Leve"),CONCATENATE("R2C",'Mapa final'!#REF!),"")</f>
        <v>#REF!</v>
      </c>
      <c r="L27" s="59" t="e">
        <f>IF(AND('Mapa final'!#REF!="Media",'Mapa final'!#REF!="Leve"),CONCATENATE("R2C",'Mapa final'!#REF!),"")</f>
        <v>#REF!</v>
      </c>
      <c r="M27" s="59" t="e">
        <f>IF(AND('Mapa final'!#REF!="Media",'Mapa final'!#REF!="Leve"),CONCATENATE("R2C",'Mapa final'!#REF!),"")</f>
        <v>#REF!</v>
      </c>
      <c r="N27" s="59" t="e">
        <f>IF(AND('Mapa final'!#REF!="Media",'Mapa final'!#REF!="Leve"),CONCATENATE("R2C",'Mapa final'!#REF!),"")</f>
        <v>#REF!</v>
      </c>
      <c r="O27" s="60" t="e">
        <f>IF(AND('Mapa final'!#REF!="Media",'Mapa final'!#REF!="Leve"),CONCATENATE("R2C",'Mapa final'!#REF!),"")</f>
        <v>#REF!</v>
      </c>
      <c r="P27" s="58" t="e">
        <f>IF(AND('Mapa final'!#REF!="Media",'Mapa final'!#REF!="Menor"),CONCATENATE("R2C",'Mapa final'!#REF!),"")</f>
        <v>#REF!</v>
      </c>
      <c r="Q27" s="59" t="e">
        <f>IF(AND('Mapa final'!#REF!="Media",'Mapa final'!#REF!="Menor"),CONCATENATE("R2C",'Mapa final'!#REF!),"")</f>
        <v>#REF!</v>
      </c>
      <c r="R27" s="59" t="e">
        <f>IF(AND('Mapa final'!#REF!="Media",'Mapa final'!#REF!="Menor"),CONCATENATE("R2C",'Mapa final'!#REF!),"")</f>
        <v>#REF!</v>
      </c>
      <c r="S27" s="59" t="e">
        <f>IF(AND('Mapa final'!#REF!="Media",'Mapa final'!#REF!="Menor"),CONCATENATE("R2C",'Mapa final'!#REF!),"")</f>
        <v>#REF!</v>
      </c>
      <c r="T27" s="59" t="e">
        <f>IF(AND('Mapa final'!#REF!="Media",'Mapa final'!#REF!="Menor"),CONCATENATE("R2C",'Mapa final'!#REF!),"")</f>
        <v>#REF!</v>
      </c>
      <c r="U27" s="60" t="e">
        <f>IF(AND('Mapa final'!#REF!="Media",'Mapa final'!#REF!="Menor"),CONCATENATE("R2C",'Mapa final'!#REF!),"")</f>
        <v>#REF!</v>
      </c>
      <c r="V27" s="58" t="e">
        <f>IF(AND('Mapa final'!#REF!="Media",'Mapa final'!#REF!="Moderado"),CONCATENATE("R2C",'Mapa final'!#REF!),"")</f>
        <v>#REF!</v>
      </c>
      <c r="W27" s="59" t="e">
        <f>IF(AND('Mapa final'!#REF!="Media",'Mapa final'!#REF!="Moderado"),CONCATENATE("R2C",'Mapa final'!#REF!),"")</f>
        <v>#REF!</v>
      </c>
      <c r="X27" s="59" t="e">
        <f>IF(AND('Mapa final'!#REF!="Media",'Mapa final'!#REF!="Moderado"),CONCATENATE("R2C",'Mapa final'!#REF!),"")</f>
        <v>#REF!</v>
      </c>
      <c r="Y27" s="59" t="e">
        <f>IF(AND('Mapa final'!#REF!="Media",'Mapa final'!#REF!="Moderado"),CONCATENATE("R2C",'Mapa final'!#REF!),"")</f>
        <v>#REF!</v>
      </c>
      <c r="Z27" s="59" t="e">
        <f>IF(AND('Mapa final'!#REF!="Media",'Mapa final'!#REF!="Moderado"),CONCATENATE("R2C",'Mapa final'!#REF!),"")</f>
        <v>#REF!</v>
      </c>
      <c r="AA27" s="60" t="e">
        <f>IF(AND('Mapa final'!#REF!="Media",'Mapa final'!#REF!="Moderado"),CONCATENATE("R2C",'Mapa final'!#REF!),"")</f>
        <v>#REF!</v>
      </c>
      <c r="AB27" s="43" t="e">
        <f>IF(AND('Mapa final'!#REF!="Media",'Mapa final'!#REF!="Mayor"),CONCATENATE("R2C",'Mapa final'!#REF!),"")</f>
        <v>#REF!</v>
      </c>
      <c r="AC27" s="44" t="e">
        <f>IF(AND('Mapa final'!#REF!="Media",'Mapa final'!#REF!="Mayor"),CONCATENATE("R2C",'Mapa final'!#REF!),"")</f>
        <v>#REF!</v>
      </c>
      <c r="AD27" s="44" t="e">
        <f>IF(AND('Mapa final'!#REF!="Media",'Mapa final'!#REF!="Mayor"),CONCATENATE("R2C",'Mapa final'!#REF!),"")</f>
        <v>#REF!</v>
      </c>
      <c r="AE27" s="44" t="e">
        <f>IF(AND('Mapa final'!#REF!="Media",'Mapa final'!#REF!="Mayor"),CONCATENATE("R2C",'Mapa final'!#REF!),"")</f>
        <v>#REF!</v>
      </c>
      <c r="AF27" s="44" t="e">
        <f>IF(AND('Mapa final'!#REF!="Media",'Mapa final'!#REF!="Mayor"),CONCATENATE("R2C",'Mapa final'!#REF!),"")</f>
        <v>#REF!</v>
      </c>
      <c r="AG27" s="45" t="e">
        <f>IF(AND('Mapa final'!#REF!="Media",'Mapa final'!#REF!="Mayor"),CONCATENATE("R2C",'Mapa final'!#REF!),"")</f>
        <v>#REF!</v>
      </c>
      <c r="AH27" s="46" t="e">
        <f>IF(AND('Mapa final'!#REF!="Media",'Mapa final'!#REF!="Catastrófico"),CONCATENATE("R2C",'Mapa final'!#REF!),"")</f>
        <v>#REF!</v>
      </c>
      <c r="AI27" s="47" t="e">
        <f>IF(AND('Mapa final'!#REF!="Media",'Mapa final'!#REF!="Catastrófico"),CONCATENATE("R2C",'Mapa final'!#REF!),"")</f>
        <v>#REF!</v>
      </c>
      <c r="AJ27" s="47" t="e">
        <f>IF(AND('Mapa final'!#REF!="Media",'Mapa final'!#REF!="Catastrófico"),CONCATENATE("R2C",'Mapa final'!#REF!),"")</f>
        <v>#REF!</v>
      </c>
      <c r="AK27" s="47" t="e">
        <f>IF(AND('Mapa final'!#REF!="Media",'Mapa final'!#REF!="Catastrófico"),CONCATENATE("R2C",'Mapa final'!#REF!),"")</f>
        <v>#REF!</v>
      </c>
      <c r="AL27" s="47" t="e">
        <f>IF(AND('Mapa final'!#REF!="Media",'Mapa final'!#REF!="Catastrófico"),CONCATENATE("R2C",'Mapa final'!#REF!),"")</f>
        <v>#REF!</v>
      </c>
      <c r="AM27" s="48" t="e">
        <f>IF(AND('Mapa final'!#REF!="Media",'Mapa final'!#REF!="Catastrófico"),CONCATENATE("R2C",'Mapa final'!#REF!),"")</f>
        <v>#REF!</v>
      </c>
      <c r="AN27" s="74"/>
      <c r="AO27" s="365"/>
      <c r="AP27" s="366"/>
      <c r="AQ27" s="366"/>
      <c r="AR27" s="366"/>
      <c r="AS27" s="366"/>
      <c r="AT27" s="367"/>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row>
    <row r="28" spans="1:76" ht="15" customHeight="1" x14ac:dyDescent="0.25">
      <c r="A28" s="74"/>
      <c r="B28" s="237"/>
      <c r="C28" s="237"/>
      <c r="D28" s="238"/>
      <c r="E28" s="336"/>
      <c r="F28" s="335"/>
      <c r="G28" s="335"/>
      <c r="H28" s="335"/>
      <c r="I28" s="351"/>
      <c r="J28" s="58" t="str">
        <f ca="1">IF(AND('Mapa final'!$Y$10="Media",'Mapa final'!$AA$10="Leve"),CONCATENATE("R3C",'Mapa final'!$O$10),"")</f>
        <v/>
      </c>
      <c r="K28" s="59" t="str">
        <f ca="1">IF(AND('Mapa final'!$Y$11="Media",'Mapa final'!$AA$11="Leve"),CONCATENATE("R3C",'Mapa final'!$O$11),"")</f>
        <v/>
      </c>
      <c r="L28" s="59" t="str">
        <f ca="1">IF(AND('Mapa final'!$Y$12="Media",'Mapa final'!$AA$12="Leve"),CONCATENATE("R3C",'Mapa final'!$O$12),"")</f>
        <v/>
      </c>
      <c r="M28" s="59" t="str">
        <f ca="1">IF(AND('Mapa final'!$Y$13="Media",'Mapa final'!$AA$13="Leve"),CONCATENATE("R3C",'Mapa final'!$O$13),"")</f>
        <v/>
      </c>
      <c r="N28" s="59" t="str">
        <f>IF(AND('Mapa final'!$Y$14="Media",'Mapa final'!$AA$14="Leve"),CONCATENATE("R3C",'Mapa final'!$O$14),"")</f>
        <v/>
      </c>
      <c r="O28" s="60" t="str">
        <f>IF(AND('Mapa final'!$Y$15="Media",'Mapa final'!$AA$15="Leve"),CONCATENATE("R3C",'Mapa final'!$O$15),"")</f>
        <v/>
      </c>
      <c r="P28" s="58" t="str">
        <f ca="1">IF(AND('Mapa final'!$Y$10="Media",'Mapa final'!$AA$10="Menor"),CONCATENATE("R3C",'Mapa final'!$O$10),"")</f>
        <v/>
      </c>
      <c r="Q28" s="59" t="str">
        <f ca="1">IF(AND('Mapa final'!$Y$11="Media",'Mapa final'!$AA$11="Menor"),CONCATENATE("R3C",'Mapa final'!$O$11),"")</f>
        <v/>
      </c>
      <c r="R28" s="59" t="str">
        <f ca="1">IF(AND('Mapa final'!$Y$12="Media",'Mapa final'!$AA$12="Menor"),CONCATENATE("R3C",'Mapa final'!$O$12),"")</f>
        <v/>
      </c>
      <c r="S28" s="59" t="str">
        <f ca="1">IF(AND('Mapa final'!$Y$13="Media",'Mapa final'!$AA$13="Menor"),CONCATENATE("R3C",'Mapa final'!$O$13),"")</f>
        <v/>
      </c>
      <c r="T28" s="59" t="str">
        <f>IF(AND('Mapa final'!$Y$14="Media",'Mapa final'!$AA$14="Menor"),CONCATENATE("R3C",'Mapa final'!$O$14),"")</f>
        <v/>
      </c>
      <c r="U28" s="60" t="str">
        <f>IF(AND('Mapa final'!$Y$15="Media",'Mapa final'!$AA$15="Menor"),CONCATENATE("R3C",'Mapa final'!$O$15),"")</f>
        <v/>
      </c>
      <c r="V28" s="58" t="str">
        <f ca="1">IF(AND('Mapa final'!$Y$10="Media",'Mapa final'!$AA$10="Moderado"),CONCATENATE("R3C",'Mapa final'!$O$10),"")</f>
        <v/>
      </c>
      <c r="W28" s="59" t="str">
        <f ca="1">IF(AND('Mapa final'!$Y$11="Media",'Mapa final'!$AA$11="Moderado"),CONCATENATE("R3C",'Mapa final'!$O$11),"")</f>
        <v/>
      </c>
      <c r="X28" s="59" t="str">
        <f ca="1">IF(AND('Mapa final'!$Y$12="Media",'Mapa final'!$AA$12="Moderado"),CONCATENATE("R3C",'Mapa final'!$O$12),"")</f>
        <v/>
      </c>
      <c r="Y28" s="59" t="str">
        <f ca="1">IF(AND('Mapa final'!$Y$13="Media",'Mapa final'!$AA$13="Moderado"),CONCATENATE("R3C",'Mapa final'!$O$13),"")</f>
        <v/>
      </c>
      <c r="Z28" s="59" t="str">
        <f>IF(AND('Mapa final'!$Y$14="Media",'Mapa final'!$AA$14="Moderado"),CONCATENATE("R3C",'Mapa final'!$O$14),"")</f>
        <v/>
      </c>
      <c r="AA28" s="60" t="str">
        <f>IF(AND('Mapa final'!$Y$15="Media",'Mapa final'!$AA$15="Moderado"),CONCATENATE("R3C",'Mapa final'!$O$15),"")</f>
        <v/>
      </c>
      <c r="AB28" s="43" t="str">
        <f ca="1">IF(AND('Mapa final'!$Y$10="Media",'Mapa final'!$AA$10="Mayor"),CONCATENATE("R3C",'Mapa final'!$O$10),"")</f>
        <v/>
      </c>
      <c r="AC28" s="44" t="str">
        <f ca="1">IF(AND('Mapa final'!$Y$11="Media",'Mapa final'!$AA$11="Mayor"),CONCATENATE("R3C",'Mapa final'!$O$11),"")</f>
        <v/>
      </c>
      <c r="AD28" s="44" t="str">
        <f ca="1">IF(AND('Mapa final'!$Y$12="Media",'Mapa final'!$AA$12="Mayor"),CONCATENATE("R3C",'Mapa final'!$O$12),"")</f>
        <v/>
      </c>
      <c r="AE28" s="44" t="str">
        <f ca="1">IF(AND('Mapa final'!$Y$13="Media",'Mapa final'!$AA$13="Mayor"),CONCATENATE("R3C",'Mapa final'!$O$13),"")</f>
        <v/>
      </c>
      <c r="AF28" s="44" t="str">
        <f>IF(AND('Mapa final'!$Y$14="Media",'Mapa final'!$AA$14="Mayor"),CONCATENATE("R3C",'Mapa final'!$O$14),"")</f>
        <v/>
      </c>
      <c r="AG28" s="45" t="str">
        <f>IF(AND('Mapa final'!$Y$15="Media",'Mapa final'!$AA$15="Mayor"),CONCATENATE("R3C",'Mapa final'!$O$15),"")</f>
        <v/>
      </c>
      <c r="AH28" s="46" t="str">
        <f ca="1">IF(AND('Mapa final'!$Y$10="Media",'Mapa final'!$AA$10="Catastrófico"),CONCATENATE("R3C",'Mapa final'!$O$10),"")</f>
        <v/>
      </c>
      <c r="AI28" s="47" t="str">
        <f ca="1">IF(AND('Mapa final'!$Y$11="Media",'Mapa final'!$AA$11="Catastrófico"),CONCATENATE("R3C",'Mapa final'!$O$11),"")</f>
        <v/>
      </c>
      <c r="AJ28" s="47" t="str">
        <f ca="1">IF(AND('Mapa final'!$Y$12="Media",'Mapa final'!$AA$12="Catastrófico"),CONCATENATE("R3C",'Mapa final'!$O$12),"")</f>
        <v/>
      </c>
      <c r="AK28" s="47" t="str">
        <f ca="1">IF(AND('Mapa final'!$Y$13="Media",'Mapa final'!$AA$13="Catastrófico"),CONCATENATE("R3C",'Mapa final'!$O$13),"")</f>
        <v/>
      </c>
      <c r="AL28" s="47" t="str">
        <f>IF(AND('Mapa final'!$Y$14="Media",'Mapa final'!$AA$14="Catastrófico"),CONCATENATE("R3C",'Mapa final'!$O$14),"")</f>
        <v/>
      </c>
      <c r="AM28" s="48" t="str">
        <f>IF(AND('Mapa final'!$Y$15="Media",'Mapa final'!$AA$15="Catastrófico"),CONCATENATE("R3C",'Mapa final'!$O$15),"")</f>
        <v/>
      </c>
      <c r="AN28" s="74"/>
      <c r="AO28" s="365"/>
      <c r="AP28" s="366"/>
      <c r="AQ28" s="366"/>
      <c r="AR28" s="366"/>
      <c r="AS28" s="366"/>
      <c r="AT28" s="367"/>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row>
    <row r="29" spans="1:76" ht="15" customHeight="1" x14ac:dyDescent="0.25">
      <c r="A29" s="74"/>
      <c r="B29" s="237"/>
      <c r="C29" s="237"/>
      <c r="D29" s="238"/>
      <c r="E29" s="336"/>
      <c r="F29" s="335"/>
      <c r="G29" s="335"/>
      <c r="H29" s="335"/>
      <c r="I29" s="351"/>
      <c r="J29" s="58" t="str">
        <f ca="1">IF(AND('Mapa final'!$Y$16="Media",'Mapa final'!$AA$16="Leve"),CONCATENATE("R4C",'Mapa final'!$O$16),"")</f>
        <v/>
      </c>
      <c r="K29" s="59" t="str">
        <f ca="1">IF(AND('Mapa final'!$Y$17="Media",'Mapa final'!$AA$17="Leve"),CONCATENATE("R4C",'Mapa final'!$O$17),"")</f>
        <v/>
      </c>
      <c r="L29" s="59" t="str">
        <f ca="1">IF(AND('Mapa final'!$Y$18="Media",'Mapa final'!$AA$18="Leve"),CONCATENATE("R4C",'Mapa final'!$O$18),"")</f>
        <v/>
      </c>
      <c r="M29" s="59" t="str">
        <f>IF(AND('Mapa final'!$Y$19="Media",'Mapa final'!$AA$19="Leve"),CONCATENATE("R4C",'Mapa final'!$O$19),"")</f>
        <v/>
      </c>
      <c r="N29" s="59" t="str">
        <f>IF(AND('Mapa final'!$Y$20="Media",'Mapa final'!$AA$20="Leve"),CONCATENATE("R4C",'Mapa final'!$O$20),"")</f>
        <v/>
      </c>
      <c r="O29" s="60" t="str">
        <f>IF(AND('Mapa final'!$Y$21="Media",'Mapa final'!$AA$21="Leve"),CONCATENATE("R4C",'Mapa final'!$O$21),"")</f>
        <v/>
      </c>
      <c r="P29" s="58" t="str">
        <f ca="1">IF(AND('Mapa final'!$Y$16="Media",'Mapa final'!$AA$16="Menor"),CONCATENATE("R4C",'Mapa final'!$O$16),"")</f>
        <v/>
      </c>
      <c r="Q29" s="59" t="str">
        <f ca="1">IF(AND('Mapa final'!$Y$17="Media",'Mapa final'!$AA$17="Menor"),CONCATENATE("R4C",'Mapa final'!$O$17),"")</f>
        <v/>
      </c>
      <c r="R29" s="59" t="str">
        <f ca="1">IF(AND('Mapa final'!$Y$18="Media",'Mapa final'!$AA$18="Menor"),CONCATENATE("R4C",'Mapa final'!$O$18),"")</f>
        <v/>
      </c>
      <c r="S29" s="59" t="str">
        <f>IF(AND('Mapa final'!$Y$19="Media",'Mapa final'!$AA$19="Menor"),CONCATENATE("R4C",'Mapa final'!$O$19),"")</f>
        <v/>
      </c>
      <c r="T29" s="59" t="str">
        <f>IF(AND('Mapa final'!$Y$20="Media",'Mapa final'!$AA$20="Menor"),CONCATENATE("R4C",'Mapa final'!$O$20),"")</f>
        <v/>
      </c>
      <c r="U29" s="60" t="str">
        <f>IF(AND('Mapa final'!$Y$21="Media",'Mapa final'!$AA$21="Menor"),CONCATENATE("R4C",'Mapa final'!$O$21),"")</f>
        <v/>
      </c>
      <c r="V29" s="58" t="str">
        <f ca="1">IF(AND('Mapa final'!$Y$16="Media",'Mapa final'!$AA$16="Moderado"),CONCATENATE("R4C",'Mapa final'!$O$16),"")</f>
        <v/>
      </c>
      <c r="W29" s="59" t="str">
        <f ca="1">IF(AND('Mapa final'!$Y$17="Media",'Mapa final'!$AA$17="Moderado"),CONCATENATE("R4C",'Mapa final'!$O$17),"")</f>
        <v/>
      </c>
      <c r="X29" s="59" t="str">
        <f ca="1">IF(AND('Mapa final'!$Y$18="Media",'Mapa final'!$AA$18="Moderado"),CONCATENATE("R4C",'Mapa final'!$O$18),"")</f>
        <v/>
      </c>
      <c r="Y29" s="59" t="str">
        <f>IF(AND('Mapa final'!$Y$19="Media",'Mapa final'!$AA$19="Moderado"),CONCATENATE("R4C",'Mapa final'!$O$19),"")</f>
        <v/>
      </c>
      <c r="Z29" s="59" t="str">
        <f>IF(AND('Mapa final'!$Y$20="Media",'Mapa final'!$AA$20="Moderado"),CONCATENATE("R4C",'Mapa final'!$O$20),"")</f>
        <v/>
      </c>
      <c r="AA29" s="60" t="str">
        <f>IF(AND('Mapa final'!$Y$21="Media",'Mapa final'!$AA$21="Moderado"),CONCATENATE("R4C",'Mapa final'!$O$21),"")</f>
        <v/>
      </c>
      <c r="AB29" s="43" t="str">
        <f ca="1">IF(AND('Mapa final'!$Y$16="Media",'Mapa final'!$AA$16="Mayor"),CONCATENATE("R4C",'Mapa final'!$O$16),"")</f>
        <v/>
      </c>
      <c r="AC29" s="44" t="str">
        <f ca="1">IF(AND('Mapa final'!$Y$17="Media",'Mapa final'!$AA$17="Mayor"),CONCATENATE("R4C",'Mapa final'!$O$17),"")</f>
        <v/>
      </c>
      <c r="AD29" s="44" t="str">
        <f ca="1">IF(AND('Mapa final'!$Y$18="Media",'Mapa final'!$AA$18="Mayor"),CONCATENATE("R4C",'Mapa final'!$O$18),"")</f>
        <v/>
      </c>
      <c r="AE29" s="44" t="str">
        <f>IF(AND('Mapa final'!$Y$19="Media",'Mapa final'!$AA$19="Mayor"),CONCATENATE("R4C",'Mapa final'!$O$19),"")</f>
        <v/>
      </c>
      <c r="AF29" s="44" t="str">
        <f>IF(AND('Mapa final'!$Y$20="Media",'Mapa final'!$AA$20="Mayor"),CONCATENATE("R4C",'Mapa final'!$O$20),"")</f>
        <v/>
      </c>
      <c r="AG29" s="45" t="str">
        <f>IF(AND('Mapa final'!$Y$21="Media",'Mapa final'!$AA$21="Mayor"),CONCATENATE("R4C",'Mapa final'!$O$21),"")</f>
        <v/>
      </c>
      <c r="AH29" s="46" t="str">
        <f ca="1">IF(AND('Mapa final'!$Y$16="Media",'Mapa final'!$AA$16="Catastrófico"),CONCATENATE("R4C",'Mapa final'!$O$16),"")</f>
        <v/>
      </c>
      <c r="AI29" s="47" t="str">
        <f ca="1">IF(AND('Mapa final'!$Y$17="Media",'Mapa final'!$AA$17="Catastrófico"),CONCATENATE("R4C",'Mapa final'!$O$17),"")</f>
        <v/>
      </c>
      <c r="AJ29" s="47" t="str">
        <f ca="1">IF(AND('Mapa final'!$Y$18="Media",'Mapa final'!$AA$18="Catastrófico"),CONCATENATE("R4C",'Mapa final'!$O$18),"")</f>
        <v/>
      </c>
      <c r="AK29" s="47" t="str">
        <f>IF(AND('Mapa final'!$Y$19="Media",'Mapa final'!$AA$19="Catastrófico"),CONCATENATE("R4C",'Mapa final'!$O$19),"")</f>
        <v/>
      </c>
      <c r="AL29" s="47" t="str">
        <f>IF(AND('Mapa final'!$Y$20="Media",'Mapa final'!$AA$20="Catastrófico"),CONCATENATE("R4C",'Mapa final'!$O$20),"")</f>
        <v/>
      </c>
      <c r="AM29" s="48" t="str">
        <f>IF(AND('Mapa final'!$Y$21="Media",'Mapa final'!$AA$21="Catastrófico"),CONCATENATE("R4C",'Mapa final'!$O$21),"")</f>
        <v/>
      </c>
      <c r="AN29" s="74"/>
      <c r="AO29" s="365"/>
      <c r="AP29" s="366"/>
      <c r="AQ29" s="366"/>
      <c r="AR29" s="366"/>
      <c r="AS29" s="366"/>
      <c r="AT29" s="367"/>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row>
    <row r="30" spans="1:76" ht="15" customHeight="1" x14ac:dyDescent="0.25">
      <c r="A30" s="74"/>
      <c r="B30" s="237"/>
      <c r="C30" s="237"/>
      <c r="D30" s="238"/>
      <c r="E30" s="336"/>
      <c r="F30" s="335"/>
      <c r="G30" s="335"/>
      <c r="H30" s="335"/>
      <c r="I30" s="351"/>
      <c r="J30" s="58" t="str">
        <f ca="1">IF(AND('Mapa final'!$Y$22="Media",'Mapa final'!$AA$22="Leve"),CONCATENATE("R5C",'Mapa final'!$O$22),"")</f>
        <v/>
      </c>
      <c r="K30" s="59" t="str">
        <f ca="1">IF(AND('Mapa final'!$Y$23="Media",'Mapa final'!$AA$23="Leve"),CONCATENATE("R5C",'Mapa final'!$O$23),"")</f>
        <v/>
      </c>
      <c r="L30" s="59" t="str">
        <f ca="1">IF(AND('Mapa final'!$Y$24="Media",'Mapa final'!$AA$24="Leve"),CONCATENATE("R5C",'Mapa final'!$O$24),"")</f>
        <v/>
      </c>
      <c r="M30" s="59" t="str">
        <f>IF(AND('Mapa final'!$Y$25="Media",'Mapa final'!$AA$25="Leve"),CONCATENATE("R5C",'Mapa final'!$O$25),"")</f>
        <v/>
      </c>
      <c r="N30" s="59" t="str">
        <f>IF(AND('Mapa final'!$Y$26="Media",'Mapa final'!$AA$26="Leve"),CONCATENATE("R5C",'Mapa final'!$O$26),"")</f>
        <v/>
      </c>
      <c r="O30" s="60" t="str">
        <f>IF(AND('Mapa final'!$Y$27="Media",'Mapa final'!$AA$27="Leve"),CONCATENATE("R5C",'Mapa final'!$O$27),"")</f>
        <v/>
      </c>
      <c r="P30" s="58" t="str">
        <f ca="1">IF(AND('Mapa final'!$Y$22="Media",'Mapa final'!$AA$22="Menor"),CONCATENATE("R5C",'Mapa final'!$O$22),"")</f>
        <v/>
      </c>
      <c r="Q30" s="59" t="str">
        <f ca="1">IF(AND('Mapa final'!$Y$23="Media",'Mapa final'!$AA$23="Menor"),CONCATENATE("R5C",'Mapa final'!$O$23),"")</f>
        <v/>
      </c>
      <c r="R30" s="59" t="str">
        <f ca="1">IF(AND('Mapa final'!$Y$24="Media",'Mapa final'!$AA$24="Menor"),CONCATENATE("R5C",'Mapa final'!$O$24),"")</f>
        <v/>
      </c>
      <c r="S30" s="59" t="str">
        <f>IF(AND('Mapa final'!$Y$25="Media",'Mapa final'!$AA$25="Menor"),CONCATENATE("R5C",'Mapa final'!$O$25),"")</f>
        <v/>
      </c>
      <c r="T30" s="59" t="str">
        <f>IF(AND('Mapa final'!$Y$26="Media",'Mapa final'!$AA$26="Menor"),CONCATENATE("R5C",'Mapa final'!$O$26),"")</f>
        <v/>
      </c>
      <c r="U30" s="60" t="str">
        <f>IF(AND('Mapa final'!$Y$27="Media",'Mapa final'!$AA$27="Menor"),CONCATENATE("R5C",'Mapa final'!$O$27),"")</f>
        <v/>
      </c>
      <c r="V30" s="58" t="str">
        <f ca="1">IF(AND('Mapa final'!$Y$22="Media",'Mapa final'!$AA$22="Moderado"),CONCATENATE("R5C",'Mapa final'!$O$22),"")</f>
        <v>R5C1</v>
      </c>
      <c r="W30" s="59" t="str">
        <f ca="1">IF(AND('Mapa final'!$Y$23="Media",'Mapa final'!$AA$23="Moderado"),CONCATENATE("R5C",'Mapa final'!$O$23),"")</f>
        <v>R5C2</v>
      </c>
      <c r="X30" s="59" t="str">
        <f ca="1">IF(AND('Mapa final'!$Y$24="Media",'Mapa final'!$AA$24="Moderado"),CONCATENATE("R5C",'Mapa final'!$O$24),"")</f>
        <v/>
      </c>
      <c r="Y30" s="59" t="str">
        <f>IF(AND('Mapa final'!$Y$25="Media",'Mapa final'!$AA$25="Moderado"),CONCATENATE("R5C",'Mapa final'!$O$25),"")</f>
        <v/>
      </c>
      <c r="Z30" s="59" t="str">
        <f>IF(AND('Mapa final'!$Y$26="Media",'Mapa final'!$AA$26="Moderado"),CONCATENATE("R5C",'Mapa final'!$O$26),"")</f>
        <v/>
      </c>
      <c r="AA30" s="60" t="str">
        <f>IF(AND('Mapa final'!$Y$27="Media",'Mapa final'!$AA$27="Moderado"),CONCATENATE("R5C",'Mapa final'!$O$27),"")</f>
        <v/>
      </c>
      <c r="AB30" s="43" t="str">
        <f ca="1">IF(AND('Mapa final'!$Y$22="Media",'Mapa final'!$AA$22="Mayor"),CONCATENATE("R5C",'Mapa final'!$O$22),"")</f>
        <v/>
      </c>
      <c r="AC30" s="44" t="str">
        <f ca="1">IF(AND('Mapa final'!$Y$23="Media",'Mapa final'!$AA$23="Mayor"),CONCATENATE("R5C",'Mapa final'!$O$23),"")</f>
        <v/>
      </c>
      <c r="AD30" s="44" t="str">
        <f ca="1">IF(AND('Mapa final'!$Y$24="Media",'Mapa final'!$AA$24="Mayor"),CONCATENATE("R5C",'Mapa final'!$O$24),"")</f>
        <v/>
      </c>
      <c r="AE30" s="44" t="str">
        <f>IF(AND('Mapa final'!$Y$25="Media",'Mapa final'!$AA$25="Mayor"),CONCATENATE("R5C",'Mapa final'!$O$25),"")</f>
        <v/>
      </c>
      <c r="AF30" s="44" t="str">
        <f>IF(AND('Mapa final'!$Y$26="Media",'Mapa final'!$AA$26="Mayor"),CONCATENATE("R5C",'Mapa final'!$O$26),"")</f>
        <v/>
      </c>
      <c r="AG30" s="45" t="str">
        <f>IF(AND('Mapa final'!$Y$27="Media",'Mapa final'!$AA$27="Mayor"),CONCATENATE("R5C",'Mapa final'!$O$27),"")</f>
        <v/>
      </c>
      <c r="AH30" s="46" t="str">
        <f ca="1">IF(AND('Mapa final'!$Y$22="Media",'Mapa final'!$AA$22="Catastrófico"),CONCATENATE("R5C",'Mapa final'!$O$22),"")</f>
        <v/>
      </c>
      <c r="AI30" s="47" t="str">
        <f ca="1">IF(AND('Mapa final'!$Y$23="Media",'Mapa final'!$AA$23="Catastrófico"),CONCATENATE("R5C",'Mapa final'!$O$23),"")</f>
        <v/>
      </c>
      <c r="AJ30" s="47" t="str">
        <f ca="1">IF(AND('Mapa final'!$Y$24="Media",'Mapa final'!$AA$24="Catastrófico"),CONCATENATE("R5C",'Mapa final'!$O$24),"")</f>
        <v/>
      </c>
      <c r="AK30" s="47" t="str">
        <f>IF(AND('Mapa final'!$Y$25="Media",'Mapa final'!$AA$25="Catastrófico"),CONCATENATE("R5C",'Mapa final'!$O$25),"")</f>
        <v/>
      </c>
      <c r="AL30" s="47" t="str">
        <f>IF(AND('Mapa final'!$Y$26="Media",'Mapa final'!$AA$26="Catastrófico"),CONCATENATE("R5C",'Mapa final'!$O$26),"")</f>
        <v/>
      </c>
      <c r="AM30" s="48" t="str">
        <f>IF(AND('Mapa final'!$Y$27="Media",'Mapa final'!$AA$27="Catastrófico"),CONCATENATE("R5C",'Mapa final'!$O$27),"")</f>
        <v/>
      </c>
      <c r="AN30" s="74"/>
      <c r="AO30" s="365"/>
      <c r="AP30" s="366"/>
      <c r="AQ30" s="366"/>
      <c r="AR30" s="366"/>
      <c r="AS30" s="366"/>
      <c r="AT30" s="367"/>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row>
    <row r="31" spans="1:76" ht="15" customHeight="1" x14ac:dyDescent="0.25">
      <c r="A31" s="74"/>
      <c r="B31" s="237"/>
      <c r="C31" s="237"/>
      <c r="D31" s="238"/>
      <c r="E31" s="336"/>
      <c r="F31" s="335"/>
      <c r="G31" s="335"/>
      <c r="H31" s="335"/>
      <c r="I31" s="351"/>
      <c r="J31" s="58" t="str">
        <f ca="1">IF(AND('Mapa final'!$Y$28="Media",'Mapa final'!$AA$28="Leve"),CONCATENATE("R6C",'Mapa final'!$O$28),"")</f>
        <v/>
      </c>
      <c r="K31" s="59" t="str">
        <f ca="1">IF(AND('Mapa final'!$Y$29="Media",'Mapa final'!$AA$29="Leve"),CONCATENATE("R6C",'Mapa final'!$O$29),"")</f>
        <v/>
      </c>
      <c r="L31" s="59" t="str">
        <f ca="1">IF(AND('Mapa final'!$Y$30="Media",'Mapa final'!$AA$30="Leve"),CONCATENATE("R6C",'Mapa final'!$O$30),"")</f>
        <v/>
      </c>
      <c r="M31" s="59" t="str">
        <f>IF(AND('Mapa final'!$Y$31="Media",'Mapa final'!$AA$31="Leve"),CONCATENATE("R6C",'Mapa final'!$O$31),"")</f>
        <v/>
      </c>
      <c r="N31" s="59" t="str">
        <f>IF(AND('Mapa final'!$Y$32="Media",'Mapa final'!$AA$32="Leve"),CONCATENATE("R6C",'Mapa final'!$O$32),"")</f>
        <v/>
      </c>
      <c r="O31" s="60" t="str">
        <f>IF(AND('Mapa final'!$Y$33="Media",'Mapa final'!$AA$33="Leve"),CONCATENATE("R6C",'Mapa final'!$O$33),"")</f>
        <v/>
      </c>
      <c r="P31" s="58" t="str">
        <f ca="1">IF(AND('Mapa final'!$Y$28="Media",'Mapa final'!$AA$28="Menor"),CONCATENATE("R6C",'Mapa final'!$O$28),"")</f>
        <v/>
      </c>
      <c r="Q31" s="59" t="str">
        <f ca="1">IF(AND('Mapa final'!$Y$29="Media",'Mapa final'!$AA$29="Menor"),CONCATENATE("R6C",'Mapa final'!$O$29),"")</f>
        <v/>
      </c>
      <c r="R31" s="59" t="str">
        <f ca="1">IF(AND('Mapa final'!$Y$30="Media",'Mapa final'!$AA$30="Menor"),CONCATENATE("R6C",'Mapa final'!$O$30),"")</f>
        <v/>
      </c>
      <c r="S31" s="59" t="str">
        <f>IF(AND('Mapa final'!$Y$31="Media",'Mapa final'!$AA$31="Menor"),CONCATENATE("R6C",'Mapa final'!$O$31),"")</f>
        <v/>
      </c>
      <c r="T31" s="59" t="str">
        <f>IF(AND('Mapa final'!$Y$32="Media",'Mapa final'!$AA$32="Menor"),CONCATENATE("R6C",'Mapa final'!$O$32),"")</f>
        <v/>
      </c>
      <c r="U31" s="60" t="str">
        <f>IF(AND('Mapa final'!$Y$33="Media",'Mapa final'!$AA$33="Menor"),CONCATENATE("R6C",'Mapa final'!$O$33),"")</f>
        <v/>
      </c>
      <c r="V31" s="58" t="str">
        <f ca="1">IF(AND('Mapa final'!$Y$28="Media",'Mapa final'!$AA$28="Moderado"),CONCATENATE("R6C",'Mapa final'!$O$28),"")</f>
        <v>R6C1</v>
      </c>
      <c r="W31" s="59" t="str">
        <f ca="1">IF(AND('Mapa final'!$Y$29="Media",'Mapa final'!$AA$29="Moderado"),CONCATENATE("R6C",'Mapa final'!$O$29),"")</f>
        <v/>
      </c>
      <c r="X31" s="59" t="str">
        <f ca="1">IF(AND('Mapa final'!$Y$30="Media",'Mapa final'!$AA$30="Moderado"),CONCATENATE("R6C",'Mapa final'!$O$30),"")</f>
        <v/>
      </c>
      <c r="Y31" s="59" t="str">
        <f>IF(AND('Mapa final'!$Y$31="Media",'Mapa final'!$AA$31="Moderado"),CONCATENATE("R6C",'Mapa final'!$O$31),"")</f>
        <v/>
      </c>
      <c r="Z31" s="59" t="str">
        <f>IF(AND('Mapa final'!$Y$32="Media",'Mapa final'!$AA$32="Moderado"),CONCATENATE("R6C",'Mapa final'!$O$32),"")</f>
        <v/>
      </c>
      <c r="AA31" s="60" t="str">
        <f>IF(AND('Mapa final'!$Y$33="Media",'Mapa final'!$AA$33="Moderado"),CONCATENATE("R6C",'Mapa final'!$O$33),"")</f>
        <v/>
      </c>
      <c r="AB31" s="43" t="str">
        <f ca="1">IF(AND('Mapa final'!$Y$28="Media",'Mapa final'!$AA$28="Mayor"),CONCATENATE("R6C",'Mapa final'!$O$28),"")</f>
        <v/>
      </c>
      <c r="AC31" s="44" t="str">
        <f ca="1">IF(AND('Mapa final'!$Y$29="Media",'Mapa final'!$AA$29="Mayor"),CONCATENATE("R6C",'Mapa final'!$O$29),"")</f>
        <v/>
      </c>
      <c r="AD31" s="44" t="str">
        <f ca="1">IF(AND('Mapa final'!$Y$30="Media",'Mapa final'!$AA$30="Mayor"),CONCATENATE("R6C",'Mapa final'!$O$30),"")</f>
        <v/>
      </c>
      <c r="AE31" s="44" t="str">
        <f>IF(AND('Mapa final'!$Y$31="Media",'Mapa final'!$AA$31="Mayor"),CONCATENATE("R6C",'Mapa final'!$O$31),"")</f>
        <v/>
      </c>
      <c r="AF31" s="44" t="str">
        <f>IF(AND('Mapa final'!$Y$32="Media",'Mapa final'!$AA$32="Mayor"),CONCATENATE("R6C",'Mapa final'!$O$32),"")</f>
        <v/>
      </c>
      <c r="AG31" s="45" t="str">
        <f>IF(AND('Mapa final'!$Y$33="Media",'Mapa final'!$AA$33="Mayor"),CONCATENATE("R6C",'Mapa final'!$O$33),"")</f>
        <v/>
      </c>
      <c r="AH31" s="46" t="str">
        <f ca="1">IF(AND('Mapa final'!$Y$28="Media",'Mapa final'!$AA$28="Catastrófico"),CONCATENATE("R6C",'Mapa final'!$O$28),"")</f>
        <v/>
      </c>
      <c r="AI31" s="47" t="str">
        <f ca="1">IF(AND('Mapa final'!$Y$29="Media",'Mapa final'!$AA$29="Catastrófico"),CONCATENATE("R6C",'Mapa final'!$O$29),"")</f>
        <v/>
      </c>
      <c r="AJ31" s="47" t="str">
        <f ca="1">IF(AND('Mapa final'!$Y$30="Media",'Mapa final'!$AA$30="Catastrófico"),CONCATENATE("R6C",'Mapa final'!$O$30),"")</f>
        <v/>
      </c>
      <c r="AK31" s="47" t="str">
        <f>IF(AND('Mapa final'!$Y$31="Media",'Mapa final'!$AA$31="Catastrófico"),CONCATENATE("R6C",'Mapa final'!$O$31),"")</f>
        <v/>
      </c>
      <c r="AL31" s="47" t="str">
        <f>IF(AND('Mapa final'!$Y$32="Media",'Mapa final'!$AA$32="Catastrófico"),CONCATENATE("R6C",'Mapa final'!$O$32),"")</f>
        <v/>
      </c>
      <c r="AM31" s="48" t="str">
        <f>IF(AND('Mapa final'!$Y$33="Media",'Mapa final'!$AA$33="Catastrófico"),CONCATENATE("R6C",'Mapa final'!$O$33),"")</f>
        <v/>
      </c>
      <c r="AN31" s="74"/>
      <c r="AO31" s="365"/>
      <c r="AP31" s="366"/>
      <c r="AQ31" s="366"/>
      <c r="AR31" s="366"/>
      <c r="AS31" s="366"/>
      <c r="AT31" s="367"/>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15" customHeight="1" x14ac:dyDescent="0.25">
      <c r="A32" s="74"/>
      <c r="B32" s="237"/>
      <c r="C32" s="237"/>
      <c r="D32" s="238"/>
      <c r="E32" s="336"/>
      <c r="F32" s="335"/>
      <c r="G32" s="335"/>
      <c r="H32" s="335"/>
      <c r="I32" s="351"/>
      <c r="J32" s="58" t="str">
        <f ca="1">IF(AND('Mapa final'!$Y$34="Media",'Mapa final'!$AA$34="Leve"),CONCATENATE("R7C",'Mapa final'!$O$34),"")</f>
        <v/>
      </c>
      <c r="K32" s="59" t="str">
        <f ca="1">IF(AND('Mapa final'!$Y$35="Media",'Mapa final'!$AA$35="Leve"),CONCATENATE("R7C",'Mapa final'!$O$35),"")</f>
        <v/>
      </c>
      <c r="L32" s="59" t="str">
        <f ca="1">IF(AND('Mapa final'!$Y$36="Media",'Mapa final'!$AA$36="Leve"),CONCATENATE("R7C",'Mapa final'!$O$36),"")</f>
        <v/>
      </c>
      <c r="M32" s="59" t="str">
        <f>IF(AND('Mapa final'!$Y$37="Media",'Mapa final'!$AA$37="Leve"),CONCATENATE("R7C",'Mapa final'!$O$37),"")</f>
        <v/>
      </c>
      <c r="N32" s="59" t="str">
        <f>IF(AND('Mapa final'!$Y$38="Media",'Mapa final'!$AA$38="Leve"),CONCATENATE("R7C",'Mapa final'!$O$38),"")</f>
        <v/>
      </c>
      <c r="O32" s="60" t="str">
        <f>IF(AND('Mapa final'!$Y$39="Media",'Mapa final'!$AA$39="Leve"),CONCATENATE("R7C",'Mapa final'!$O$39),"")</f>
        <v/>
      </c>
      <c r="P32" s="58" t="str">
        <f ca="1">IF(AND('Mapa final'!$Y$34="Media",'Mapa final'!$AA$34="Menor"),CONCATENATE("R7C",'Mapa final'!$O$34),"")</f>
        <v/>
      </c>
      <c r="Q32" s="59" t="str">
        <f ca="1">IF(AND('Mapa final'!$Y$35="Media",'Mapa final'!$AA$35="Menor"),CONCATENATE("R7C",'Mapa final'!$O$35),"")</f>
        <v/>
      </c>
      <c r="R32" s="59" t="str">
        <f ca="1">IF(AND('Mapa final'!$Y$36="Media",'Mapa final'!$AA$36="Menor"),CONCATENATE("R7C",'Mapa final'!$O$36),"")</f>
        <v/>
      </c>
      <c r="S32" s="59" t="str">
        <f>IF(AND('Mapa final'!$Y$37="Media",'Mapa final'!$AA$37="Menor"),CONCATENATE("R7C",'Mapa final'!$O$37),"")</f>
        <v/>
      </c>
      <c r="T32" s="59" t="str">
        <f>IF(AND('Mapa final'!$Y$38="Media",'Mapa final'!$AA$38="Menor"),CONCATENATE("R7C",'Mapa final'!$O$38),"")</f>
        <v/>
      </c>
      <c r="U32" s="60" t="str">
        <f>IF(AND('Mapa final'!$Y$39="Media",'Mapa final'!$AA$39="Menor"),CONCATENATE("R7C",'Mapa final'!$O$39),"")</f>
        <v/>
      </c>
      <c r="V32" s="58" t="str">
        <f ca="1">IF(AND('Mapa final'!$Y$34="Media",'Mapa final'!$AA$34="Moderado"),CONCATENATE("R7C",'Mapa final'!$O$34),"")</f>
        <v/>
      </c>
      <c r="W32" s="59" t="str">
        <f ca="1">IF(AND('Mapa final'!$Y$35="Media",'Mapa final'!$AA$35="Moderado"),CONCATENATE("R7C",'Mapa final'!$O$35),"")</f>
        <v/>
      </c>
      <c r="X32" s="59" t="str">
        <f ca="1">IF(AND('Mapa final'!$Y$36="Media",'Mapa final'!$AA$36="Moderado"),CONCATENATE("R7C",'Mapa final'!$O$36),"")</f>
        <v/>
      </c>
      <c r="Y32" s="59" t="str">
        <f>IF(AND('Mapa final'!$Y$37="Media",'Mapa final'!$AA$37="Moderado"),CONCATENATE("R7C",'Mapa final'!$O$37),"")</f>
        <v/>
      </c>
      <c r="Z32" s="59" t="str">
        <f>IF(AND('Mapa final'!$Y$38="Media",'Mapa final'!$AA$38="Moderado"),CONCATENATE("R7C",'Mapa final'!$O$38),"")</f>
        <v/>
      </c>
      <c r="AA32" s="60" t="str">
        <f>IF(AND('Mapa final'!$Y$39="Media",'Mapa final'!$AA$39="Moderado"),CONCATENATE("R7C",'Mapa final'!$O$39),"")</f>
        <v/>
      </c>
      <c r="AB32" s="43" t="str">
        <f ca="1">IF(AND('Mapa final'!$Y$34="Media",'Mapa final'!$AA$34="Mayor"),CONCATENATE("R7C",'Mapa final'!$O$34),"")</f>
        <v>R7C1</v>
      </c>
      <c r="AC32" s="44" t="str">
        <f ca="1">IF(AND('Mapa final'!$Y$35="Media",'Mapa final'!$AA$35="Mayor"),CONCATENATE("R7C",'Mapa final'!$O$35),"")</f>
        <v/>
      </c>
      <c r="AD32" s="44" t="str">
        <f ca="1">IF(AND('Mapa final'!$Y$36="Media",'Mapa final'!$AA$36="Mayor"),CONCATENATE("R7C",'Mapa final'!$O$36),"")</f>
        <v/>
      </c>
      <c r="AE32" s="44" t="str">
        <f>IF(AND('Mapa final'!$Y$37="Media",'Mapa final'!$AA$37="Mayor"),CONCATENATE("R7C",'Mapa final'!$O$37),"")</f>
        <v/>
      </c>
      <c r="AF32" s="44" t="str">
        <f>IF(AND('Mapa final'!$Y$38="Media",'Mapa final'!$AA$38="Mayor"),CONCATENATE("R7C",'Mapa final'!$O$38),"")</f>
        <v/>
      </c>
      <c r="AG32" s="45" t="str">
        <f>IF(AND('Mapa final'!$Y$39="Media",'Mapa final'!$AA$39="Mayor"),CONCATENATE("R7C",'Mapa final'!$O$39),"")</f>
        <v/>
      </c>
      <c r="AH32" s="46" t="str">
        <f ca="1">IF(AND('Mapa final'!$Y$34="Media",'Mapa final'!$AA$34="Catastrófico"),CONCATENATE("R7C",'Mapa final'!$O$34),"")</f>
        <v/>
      </c>
      <c r="AI32" s="47" t="str">
        <f ca="1">IF(AND('Mapa final'!$Y$35="Media",'Mapa final'!$AA$35="Catastrófico"),CONCATENATE("R7C",'Mapa final'!$O$35),"")</f>
        <v/>
      </c>
      <c r="AJ32" s="47" t="str">
        <f ca="1">IF(AND('Mapa final'!$Y$36="Media",'Mapa final'!$AA$36="Catastrófico"),CONCATENATE("R7C",'Mapa final'!$O$36),"")</f>
        <v/>
      </c>
      <c r="AK32" s="47" t="str">
        <f>IF(AND('Mapa final'!$Y$37="Media",'Mapa final'!$AA$37="Catastrófico"),CONCATENATE("R7C",'Mapa final'!$O$37),"")</f>
        <v/>
      </c>
      <c r="AL32" s="47" t="str">
        <f>IF(AND('Mapa final'!$Y$38="Media",'Mapa final'!$AA$38="Catastrófico"),CONCATENATE("R7C",'Mapa final'!$O$38),"")</f>
        <v/>
      </c>
      <c r="AM32" s="48" t="str">
        <f>IF(AND('Mapa final'!$Y$39="Media",'Mapa final'!$AA$39="Catastrófico"),CONCATENATE("R7C",'Mapa final'!$O$39),"")</f>
        <v/>
      </c>
      <c r="AN32" s="74"/>
      <c r="AO32" s="365"/>
      <c r="AP32" s="366"/>
      <c r="AQ32" s="366"/>
      <c r="AR32" s="366"/>
      <c r="AS32" s="366"/>
      <c r="AT32" s="367"/>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80" ht="15" customHeight="1" x14ac:dyDescent="0.25">
      <c r="A33" s="74"/>
      <c r="B33" s="237"/>
      <c r="C33" s="237"/>
      <c r="D33" s="238"/>
      <c r="E33" s="336"/>
      <c r="F33" s="335"/>
      <c r="G33" s="335"/>
      <c r="H33" s="335"/>
      <c r="I33" s="351"/>
      <c r="J33" s="58" t="str">
        <f ca="1">IF(AND('Mapa final'!$Y$40="Media",'Mapa final'!$AA$40="Leve"),CONCATENATE("R8C",'Mapa final'!$O$40),"")</f>
        <v/>
      </c>
      <c r="K33" s="59" t="str">
        <f>IF(AND('Mapa final'!$Y$41="Media",'Mapa final'!$AA$41="Leve"),CONCATENATE("R8C",'Mapa final'!$O$41),"")</f>
        <v/>
      </c>
      <c r="L33" s="59" t="str">
        <f>IF(AND('Mapa final'!$Y$42="Media",'Mapa final'!$AA$42="Leve"),CONCATENATE("R8C",'Mapa final'!$O$42),"")</f>
        <v/>
      </c>
      <c r="M33" s="59" t="str">
        <f>IF(AND('Mapa final'!$Y$43="Media",'Mapa final'!$AA$43="Leve"),CONCATENATE("R8C",'Mapa final'!$O$43),"")</f>
        <v/>
      </c>
      <c r="N33" s="59" t="str">
        <f>IF(AND('Mapa final'!$Y$44="Media",'Mapa final'!$AA$44="Leve"),CONCATENATE("R8C",'Mapa final'!$O$44),"")</f>
        <v/>
      </c>
      <c r="O33" s="60" t="str">
        <f>IF(AND('Mapa final'!$Y$45="Media",'Mapa final'!$AA$45="Leve"),CONCATENATE("R8C",'Mapa final'!$O$45),"")</f>
        <v/>
      </c>
      <c r="P33" s="58" t="str">
        <f ca="1">IF(AND('Mapa final'!$Y$40="Media",'Mapa final'!$AA$40="Menor"),CONCATENATE("R8C",'Mapa final'!$O$40),"")</f>
        <v/>
      </c>
      <c r="Q33" s="59" t="str">
        <f>IF(AND('Mapa final'!$Y$41="Media",'Mapa final'!$AA$41="Menor"),CONCATENATE("R8C",'Mapa final'!$O$41),"")</f>
        <v/>
      </c>
      <c r="R33" s="59" t="str">
        <f>IF(AND('Mapa final'!$Y$42="Media",'Mapa final'!$AA$42="Menor"),CONCATENATE("R8C",'Mapa final'!$O$42),"")</f>
        <v/>
      </c>
      <c r="S33" s="59" t="str">
        <f>IF(AND('Mapa final'!$Y$43="Media",'Mapa final'!$AA$43="Menor"),CONCATENATE("R8C",'Mapa final'!$O$43),"")</f>
        <v/>
      </c>
      <c r="T33" s="59" t="str">
        <f>IF(AND('Mapa final'!$Y$44="Media",'Mapa final'!$AA$44="Menor"),CONCATENATE("R8C",'Mapa final'!$O$44),"")</f>
        <v/>
      </c>
      <c r="U33" s="60" t="str">
        <f>IF(AND('Mapa final'!$Y$45="Media",'Mapa final'!$AA$45="Menor"),CONCATENATE("R8C",'Mapa final'!$O$45),"")</f>
        <v/>
      </c>
      <c r="V33" s="58" t="str">
        <f ca="1">IF(AND('Mapa final'!$Y$40="Media",'Mapa final'!$AA$40="Moderado"),CONCATENATE("R8C",'Mapa final'!$O$40),"")</f>
        <v/>
      </c>
      <c r="W33" s="59" t="str">
        <f>IF(AND('Mapa final'!$Y$41="Media",'Mapa final'!$AA$41="Moderado"),CONCATENATE("R8C",'Mapa final'!$O$41),"")</f>
        <v/>
      </c>
      <c r="X33" s="59" t="str">
        <f>IF(AND('Mapa final'!$Y$42="Media",'Mapa final'!$AA$42="Moderado"),CONCATENATE("R8C",'Mapa final'!$O$42),"")</f>
        <v/>
      </c>
      <c r="Y33" s="59" t="str">
        <f>IF(AND('Mapa final'!$Y$43="Media",'Mapa final'!$AA$43="Moderado"),CONCATENATE("R8C",'Mapa final'!$O$43),"")</f>
        <v/>
      </c>
      <c r="Z33" s="59" t="str">
        <f>IF(AND('Mapa final'!$Y$44="Media",'Mapa final'!$AA$44="Moderado"),CONCATENATE("R8C",'Mapa final'!$O$44),"")</f>
        <v/>
      </c>
      <c r="AA33" s="60" t="str">
        <f>IF(AND('Mapa final'!$Y$45="Media",'Mapa final'!$AA$45="Moderado"),CONCATENATE("R8C",'Mapa final'!$O$45),"")</f>
        <v/>
      </c>
      <c r="AB33" s="43" t="str">
        <f ca="1">IF(AND('Mapa final'!$Y$40="Media",'Mapa final'!$AA$40="Mayor"),CONCATENATE("R8C",'Mapa final'!$O$40),"")</f>
        <v/>
      </c>
      <c r="AC33" s="44" t="str">
        <f>IF(AND('Mapa final'!$Y$41="Media",'Mapa final'!$AA$41="Mayor"),CONCATENATE("R8C",'Mapa final'!$O$41),"")</f>
        <v/>
      </c>
      <c r="AD33" s="44" t="str">
        <f>IF(AND('Mapa final'!$Y$42="Media",'Mapa final'!$AA$42="Mayor"),CONCATENATE("R8C",'Mapa final'!$O$42),"")</f>
        <v/>
      </c>
      <c r="AE33" s="44" t="str">
        <f>IF(AND('Mapa final'!$Y$43="Media",'Mapa final'!$AA$43="Mayor"),CONCATENATE("R8C",'Mapa final'!$O$43),"")</f>
        <v/>
      </c>
      <c r="AF33" s="44" t="str">
        <f>IF(AND('Mapa final'!$Y$44="Media",'Mapa final'!$AA$44="Mayor"),CONCATENATE("R8C",'Mapa final'!$O$44),"")</f>
        <v/>
      </c>
      <c r="AG33" s="45" t="str">
        <f>IF(AND('Mapa final'!$Y$45="Media",'Mapa final'!$AA$45="Mayor"),CONCATENATE("R8C",'Mapa final'!$O$45),"")</f>
        <v/>
      </c>
      <c r="AH33" s="46" t="str">
        <f ca="1">IF(AND('Mapa final'!$Y$40="Media",'Mapa final'!$AA$40="Catastrófico"),CONCATENATE("R8C",'Mapa final'!$O$40),"")</f>
        <v/>
      </c>
      <c r="AI33" s="47" t="str">
        <f>IF(AND('Mapa final'!$Y$41="Media",'Mapa final'!$AA$41="Catastrófico"),CONCATENATE("R8C",'Mapa final'!$O$41),"")</f>
        <v/>
      </c>
      <c r="AJ33" s="47" t="str">
        <f>IF(AND('Mapa final'!$Y$42="Media",'Mapa final'!$AA$42="Catastrófico"),CONCATENATE("R8C",'Mapa final'!$O$42),"")</f>
        <v/>
      </c>
      <c r="AK33" s="47" t="str">
        <f>IF(AND('Mapa final'!$Y$43="Media",'Mapa final'!$AA$43="Catastrófico"),CONCATENATE("R8C",'Mapa final'!$O$43),"")</f>
        <v/>
      </c>
      <c r="AL33" s="47" t="str">
        <f>IF(AND('Mapa final'!$Y$44="Media",'Mapa final'!$AA$44="Catastrófico"),CONCATENATE("R8C",'Mapa final'!$O$44),"")</f>
        <v/>
      </c>
      <c r="AM33" s="48" t="str">
        <f>IF(AND('Mapa final'!$Y$45="Media",'Mapa final'!$AA$45="Catastrófico"),CONCATENATE("R8C",'Mapa final'!$O$45),"")</f>
        <v/>
      </c>
      <c r="AN33" s="74"/>
      <c r="AO33" s="365"/>
      <c r="AP33" s="366"/>
      <c r="AQ33" s="366"/>
      <c r="AR33" s="366"/>
      <c r="AS33" s="366"/>
      <c r="AT33" s="367"/>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row>
    <row r="34" spans="1:80" ht="15" customHeight="1" x14ac:dyDescent="0.25">
      <c r="A34" s="74"/>
      <c r="B34" s="237"/>
      <c r="C34" s="237"/>
      <c r="D34" s="238"/>
      <c r="E34" s="336"/>
      <c r="F34" s="335"/>
      <c r="G34" s="335"/>
      <c r="H34" s="335"/>
      <c r="I34" s="351"/>
      <c r="J34" s="58" t="str">
        <f>IF(AND('Mapa final'!$Y$46="Media",'Mapa final'!$AA$46="Leve"),CONCATENATE("R9C",'Mapa final'!$O$46),"")</f>
        <v/>
      </c>
      <c r="K34" s="59" t="str">
        <f>IF(AND('Mapa final'!$Y$47="Media",'Mapa final'!$AA$47="Leve"),CONCATENATE("R9C",'Mapa final'!$O$47),"")</f>
        <v/>
      </c>
      <c r="L34" s="59" t="str">
        <f>IF(AND('Mapa final'!$Y$48="Media",'Mapa final'!$AA$48="Leve"),CONCATENATE("R9C",'Mapa final'!$O$48),"")</f>
        <v/>
      </c>
      <c r="M34" s="59" t="str">
        <f>IF(AND('Mapa final'!$Y$49="Media",'Mapa final'!$AA$49="Leve"),CONCATENATE("R9C",'Mapa final'!$O$49),"")</f>
        <v/>
      </c>
      <c r="N34" s="59" t="str">
        <f>IF(AND('Mapa final'!$Y$50="Media",'Mapa final'!$AA$50="Leve"),CONCATENATE("R9C",'Mapa final'!$O$50),"")</f>
        <v/>
      </c>
      <c r="O34" s="60" t="str">
        <f>IF(AND('Mapa final'!$Y$51="Media",'Mapa final'!$AA$51="Leve"),CONCATENATE("R9C",'Mapa final'!$O$51),"")</f>
        <v/>
      </c>
      <c r="P34" s="58" t="str">
        <f>IF(AND('Mapa final'!$Y$46="Media",'Mapa final'!$AA$46="Menor"),CONCATENATE("R9C",'Mapa final'!$O$46),"")</f>
        <v/>
      </c>
      <c r="Q34" s="59" t="str">
        <f>IF(AND('Mapa final'!$Y$47="Media",'Mapa final'!$AA$47="Menor"),CONCATENATE("R9C",'Mapa final'!$O$47),"")</f>
        <v/>
      </c>
      <c r="R34" s="59" t="str">
        <f>IF(AND('Mapa final'!$Y$48="Media",'Mapa final'!$AA$48="Menor"),CONCATENATE("R9C",'Mapa final'!$O$48),"")</f>
        <v/>
      </c>
      <c r="S34" s="59" t="str">
        <f>IF(AND('Mapa final'!$Y$49="Media",'Mapa final'!$AA$49="Menor"),CONCATENATE("R9C",'Mapa final'!$O$49),"")</f>
        <v/>
      </c>
      <c r="T34" s="59" t="str">
        <f>IF(AND('Mapa final'!$Y$50="Media",'Mapa final'!$AA$50="Menor"),CONCATENATE("R9C",'Mapa final'!$O$50),"")</f>
        <v/>
      </c>
      <c r="U34" s="60" t="str">
        <f>IF(AND('Mapa final'!$Y$51="Media",'Mapa final'!$AA$51="Menor"),CONCATENATE("R9C",'Mapa final'!$O$51),"")</f>
        <v/>
      </c>
      <c r="V34" s="58" t="str">
        <f>IF(AND('Mapa final'!$Y$46="Media",'Mapa final'!$AA$46="Moderado"),CONCATENATE("R9C",'Mapa final'!$O$46),"")</f>
        <v/>
      </c>
      <c r="W34" s="59" t="str">
        <f>IF(AND('Mapa final'!$Y$47="Media",'Mapa final'!$AA$47="Moderado"),CONCATENATE("R9C",'Mapa final'!$O$47),"")</f>
        <v/>
      </c>
      <c r="X34" s="59" t="str">
        <f>IF(AND('Mapa final'!$Y$48="Media",'Mapa final'!$AA$48="Moderado"),CONCATENATE("R9C",'Mapa final'!$O$48),"")</f>
        <v/>
      </c>
      <c r="Y34" s="59" t="str">
        <f>IF(AND('Mapa final'!$Y$49="Media",'Mapa final'!$AA$49="Moderado"),CONCATENATE("R9C",'Mapa final'!$O$49),"")</f>
        <v/>
      </c>
      <c r="Z34" s="59" t="str">
        <f>IF(AND('Mapa final'!$Y$50="Media",'Mapa final'!$AA$50="Moderado"),CONCATENATE("R9C",'Mapa final'!$O$50),"")</f>
        <v/>
      </c>
      <c r="AA34" s="60" t="str">
        <f>IF(AND('Mapa final'!$Y$51="Media",'Mapa final'!$AA$51="Moderado"),CONCATENATE("R9C",'Mapa final'!$O$51),"")</f>
        <v/>
      </c>
      <c r="AB34" s="43" t="str">
        <f>IF(AND('Mapa final'!$Y$46="Media",'Mapa final'!$AA$46="Mayor"),CONCATENATE("R9C",'Mapa final'!$O$46),"")</f>
        <v/>
      </c>
      <c r="AC34" s="44" t="str">
        <f>IF(AND('Mapa final'!$Y$47="Media",'Mapa final'!$AA$47="Mayor"),CONCATENATE("R9C",'Mapa final'!$O$47),"")</f>
        <v/>
      </c>
      <c r="AD34" s="44" t="str">
        <f>IF(AND('Mapa final'!$Y$48="Media",'Mapa final'!$AA$48="Mayor"),CONCATENATE("R9C",'Mapa final'!$O$48),"")</f>
        <v/>
      </c>
      <c r="AE34" s="44" t="str">
        <f>IF(AND('Mapa final'!$Y$49="Media",'Mapa final'!$AA$49="Mayor"),CONCATENATE("R9C",'Mapa final'!$O$49),"")</f>
        <v/>
      </c>
      <c r="AF34" s="44" t="str">
        <f>IF(AND('Mapa final'!$Y$50="Media",'Mapa final'!$AA$50="Mayor"),CONCATENATE("R9C",'Mapa final'!$O$50),"")</f>
        <v/>
      </c>
      <c r="AG34" s="45" t="str">
        <f>IF(AND('Mapa final'!$Y$51="Media",'Mapa final'!$AA$51="Mayor"),CONCATENATE("R9C",'Mapa final'!$O$51),"")</f>
        <v/>
      </c>
      <c r="AH34" s="46" t="str">
        <f>IF(AND('Mapa final'!$Y$46="Media",'Mapa final'!$AA$46="Catastrófico"),CONCATENATE("R9C",'Mapa final'!$O$46),"")</f>
        <v/>
      </c>
      <c r="AI34" s="47" t="str">
        <f>IF(AND('Mapa final'!$Y$47="Media",'Mapa final'!$AA$47="Catastrófico"),CONCATENATE("R9C",'Mapa final'!$O$47),"")</f>
        <v/>
      </c>
      <c r="AJ34" s="47" t="str">
        <f>IF(AND('Mapa final'!$Y$48="Media",'Mapa final'!$AA$48="Catastrófico"),CONCATENATE("R9C",'Mapa final'!$O$48),"")</f>
        <v/>
      </c>
      <c r="AK34" s="47" t="str">
        <f>IF(AND('Mapa final'!$Y$49="Media",'Mapa final'!$AA$49="Catastrófico"),CONCATENATE("R9C",'Mapa final'!$O$49),"")</f>
        <v/>
      </c>
      <c r="AL34" s="47" t="str">
        <f>IF(AND('Mapa final'!$Y$50="Media",'Mapa final'!$AA$50="Catastrófico"),CONCATENATE("R9C",'Mapa final'!$O$50),"")</f>
        <v/>
      </c>
      <c r="AM34" s="48" t="str">
        <f>IF(AND('Mapa final'!$Y$51="Media",'Mapa final'!$AA$51="Catastrófico"),CONCATENATE("R9C",'Mapa final'!$O$51),"")</f>
        <v/>
      </c>
      <c r="AN34" s="74"/>
      <c r="AO34" s="365"/>
      <c r="AP34" s="366"/>
      <c r="AQ34" s="366"/>
      <c r="AR34" s="366"/>
      <c r="AS34" s="366"/>
      <c r="AT34" s="367"/>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row>
    <row r="35" spans="1:80" ht="15.75" customHeight="1" thickBot="1" x14ac:dyDescent="0.3">
      <c r="A35" s="74"/>
      <c r="B35" s="237"/>
      <c r="C35" s="237"/>
      <c r="D35" s="238"/>
      <c r="E35" s="337"/>
      <c r="F35" s="338"/>
      <c r="G35" s="338"/>
      <c r="H35" s="338"/>
      <c r="I35" s="352"/>
      <c r="J35" s="58" t="str">
        <f>IF(AND('Mapa final'!$Y$52="Media",'Mapa final'!$AA$52="Leve"),CONCATENATE("R10C",'Mapa final'!$O$52),"")</f>
        <v/>
      </c>
      <c r="K35" s="59" t="str">
        <f>IF(AND('Mapa final'!$Y$53="Media",'Mapa final'!$AA$53="Leve"),CONCATENATE("R10C",'Mapa final'!$O$53),"")</f>
        <v/>
      </c>
      <c r="L35" s="59" t="str">
        <f>IF(AND('Mapa final'!$Y$54="Media",'Mapa final'!$AA$54="Leve"),CONCATENATE("R10C",'Mapa final'!$O$54),"")</f>
        <v/>
      </c>
      <c r="M35" s="59" t="str">
        <f>IF(AND('Mapa final'!$Y$55="Media",'Mapa final'!$AA$55="Leve"),CONCATENATE("R10C",'Mapa final'!$O$55),"")</f>
        <v/>
      </c>
      <c r="N35" s="59" t="str">
        <f>IF(AND('Mapa final'!$Y$56="Media",'Mapa final'!$AA$56="Leve"),CONCATENATE("R10C",'Mapa final'!$O$56),"")</f>
        <v/>
      </c>
      <c r="O35" s="60" t="str">
        <f>IF(AND('Mapa final'!$Y$57="Media",'Mapa final'!$AA$57="Leve"),CONCATENATE("R10C",'Mapa final'!$O$57),"")</f>
        <v/>
      </c>
      <c r="P35" s="58" t="str">
        <f>IF(AND('Mapa final'!$Y$52="Media",'Mapa final'!$AA$52="Menor"),CONCATENATE("R10C",'Mapa final'!$O$52),"")</f>
        <v/>
      </c>
      <c r="Q35" s="59" t="str">
        <f>IF(AND('Mapa final'!$Y$53="Media",'Mapa final'!$AA$53="Menor"),CONCATENATE("R10C",'Mapa final'!$O$53),"")</f>
        <v/>
      </c>
      <c r="R35" s="59" t="str">
        <f>IF(AND('Mapa final'!$Y$54="Media",'Mapa final'!$AA$54="Menor"),CONCATENATE("R10C",'Mapa final'!$O$54),"")</f>
        <v/>
      </c>
      <c r="S35" s="59" t="str">
        <f>IF(AND('Mapa final'!$Y$55="Media",'Mapa final'!$AA$55="Menor"),CONCATENATE("R10C",'Mapa final'!$O$55),"")</f>
        <v/>
      </c>
      <c r="T35" s="59" t="str">
        <f>IF(AND('Mapa final'!$Y$56="Media",'Mapa final'!$AA$56="Menor"),CONCATENATE("R10C",'Mapa final'!$O$56),"")</f>
        <v/>
      </c>
      <c r="U35" s="60" t="str">
        <f>IF(AND('Mapa final'!$Y$57="Media",'Mapa final'!$AA$57="Menor"),CONCATENATE("R10C",'Mapa final'!$O$57),"")</f>
        <v/>
      </c>
      <c r="V35" s="58" t="str">
        <f>IF(AND('Mapa final'!$Y$52="Media",'Mapa final'!$AA$52="Moderado"),CONCATENATE("R10C",'Mapa final'!$O$52),"")</f>
        <v/>
      </c>
      <c r="W35" s="59" t="str">
        <f>IF(AND('Mapa final'!$Y$53="Media",'Mapa final'!$AA$53="Moderado"),CONCATENATE("R10C",'Mapa final'!$O$53),"")</f>
        <v/>
      </c>
      <c r="X35" s="59" t="str">
        <f>IF(AND('Mapa final'!$Y$54="Media",'Mapa final'!$AA$54="Moderado"),CONCATENATE("R10C",'Mapa final'!$O$54),"")</f>
        <v/>
      </c>
      <c r="Y35" s="59" t="str">
        <f>IF(AND('Mapa final'!$Y$55="Media",'Mapa final'!$AA$55="Moderado"),CONCATENATE("R10C",'Mapa final'!$O$55),"")</f>
        <v/>
      </c>
      <c r="Z35" s="59" t="str">
        <f>IF(AND('Mapa final'!$Y$56="Media",'Mapa final'!$AA$56="Moderado"),CONCATENATE("R10C",'Mapa final'!$O$56),"")</f>
        <v/>
      </c>
      <c r="AA35" s="60" t="str">
        <f>IF(AND('Mapa final'!$Y$57="Media",'Mapa final'!$AA$57="Moderado"),CONCATENATE("R10C",'Mapa final'!$O$57),"")</f>
        <v/>
      </c>
      <c r="AB35" s="49" t="str">
        <f>IF(AND('Mapa final'!$Y$52="Media",'Mapa final'!$AA$52="Mayor"),CONCATENATE("R10C",'Mapa final'!$O$52),"")</f>
        <v/>
      </c>
      <c r="AC35" s="50" t="str">
        <f>IF(AND('Mapa final'!$Y$53="Media",'Mapa final'!$AA$53="Mayor"),CONCATENATE("R10C",'Mapa final'!$O$53),"")</f>
        <v/>
      </c>
      <c r="AD35" s="50" t="str">
        <f>IF(AND('Mapa final'!$Y$54="Media",'Mapa final'!$AA$54="Mayor"),CONCATENATE("R10C",'Mapa final'!$O$54),"")</f>
        <v/>
      </c>
      <c r="AE35" s="50" t="str">
        <f>IF(AND('Mapa final'!$Y$55="Media",'Mapa final'!$AA$55="Mayor"),CONCATENATE("R10C",'Mapa final'!$O$55),"")</f>
        <v/>
      </c>
      <c r="AF35" s="50" t="str">
        <f>IF(AND('Mapa final'!$Y$56="Media",'Mapa final'!$AA$56="Mayor"),CONCATENATE("R10C",'Mapa final'!$O$56),"")</f>
        <v/>
      </c>
      <c r="AG35" s="51" t="str">
        <f>IF(AND('Mapa final'!$Y$57="Media",'Mapa final'!$AA$57="Mayor"),CONCATENATE("R10C",'Mapa final'!$O$57),"")</f>
        <v/>
      </c>
      <c r="AH35" s="52" t="str">
        <f>IF(AND('Mapa final'!$Y$52="Media",'Mapa final'!$AA$52="Catastrófico"),CONCATENATE("R10C",'Mapa final'!$O$52),"")</f>
        <v/>
      </c>
      <c r="AI35" s="53" t="str">
        <f>IF(AND('Mapa final'!$Y$53="Media",'Mapa final'!$AA$53="Catastrófico"),CONCATENATE("R10C",'Mapa final'!$O$53),"")</f>
        <v/>
      </c>
      <c r="AJ35" s="53" t="str">
        <f>IF(AND('Mapa final'!$Y$54="Media",'Mapa final'!$AA$54="Catastrófico"),CONCATENATE("R10C",'Mapa final'!$O$54),"")</f>
        <v/>
      </c>
      <c r="AK35" s="53" t="str">
        <f>IF(AND('Mapa final'!$Y$55="Media",'Mapa final'!$AA$55="Catastrófico"),CONCATENATE("R10C",'Mapa final'!$O$55),"")</f>
        <v/>
      </c>
      <c r="AL35" s="53" t="str">
        <f>IF(AND('Mapa final'!$Y$56="Media",'Mapa final'!$AA$56="Catastrófico"),CONCATENATE("R10C",'Mapa final'!$O$56),"")</f>
        <v/>
      </c>
      <c r="AM35" s="54" t="str">
        <f>IF(AND('Mapa final'!$Y$57="Media",'Mapa final'!$AA$57="Catastrófico"),CONCATENATE("R10C",'Mapa final'!$O$57),"")</f>
        <v/>
      </c>
      <c r="AN35" s="74"/>
      <c r="AO35" s="368"/>
      <c r="AP35" s="369"/>
      <c r="AQ35" s="369"/>
      <c r="AR35" s="369"/>
      <c r="AS35" s="369"/>
      <c r="AT35" s="370"/>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row>
    <row r="36" spans="1:80" ht="15" customHeight="1" x14ac:dyDescent="0.25">
      <c r="A36" s="74"/>
      <c r="B36" s="237"/>
      <c r="C36" s="237"/>
      <c r="D36" s="238"/>
      <c r="E36" s="332" t="s">
        <v>112</v>
      </c>
      <c r="F36" s="333"/>
      <c r="G36" s="333"/>
      <c r="H36" s="333"/>
      <c r="I36" s="333"/>
      <c r="J36" s="64" t="e">
        <f>IF(AND('Mapa final'!#REF!="Baja",'Mapa final'!#REF!="Leve"),CONCATENATE("R1C",'Mapa final'!#REF!),"")</f>
        <v>#REF!</v>
      </c>
      <c r="K36" s="65" t="e">
        <f>IF(AND('Mapa final'!#REF!="Baja",'Mapa final'!#REF!="Leve"),CONCATENATE("R1C",'Mapa final'!#REF!),"")</f>
        <v>#REF!</v>
      </c>
      <c r="L36" s="65" t="e">
        <f>IF(AND('Mapa final'!#REF!="Baja",'Mapa final'!#REF!="Leve"),CONCATENATE("R1C",'Mapa final'!#REF!),"")</f>
        <v>#REF!</v>
      </c>
      <c r="M36" s="65" t="e">
        <f>IF(AND('Mapa final'!#REF!="Baja",'Mapa final'!#REF!="Leve"),CONCATENATE("R1C",'Mapa final'!#REF!),"")</f>
        <v>#REF!</v>
      </c>
      <c r="N36" s="65" t="e">
        <f>IF(AND('Mapa final'!#REF!="Baja",'Mapa final'!#REF!="Leve"),CONCATENATE("R1C",'Mapa final'!#REF!),"")</f>
        <v>#REF!</v>
      </c>
      <c r="O36" s="66" t="e">
        <f>IF(AND('Mapa final'!#REF!="Baja",'Mapa final'!#REF!="Leve"),CONCATENATE("R1C",'Mapa final'!#REF!),"")</f>
        <v>#REF!</v>
      </c>
      <c r="P36" s="55" t="e">
        <f>IF(AND('Mapa final'!#REF!="Baja",'Mapa final'!#REF!="Menor"),CONCATENATE("R1C",'Mapa final'!#REF!),"")</f>
        <v>#REF!</v>
      </c>
      <c r="Q36" s="56" t="e">
        <f>IF(AND('Mapa final'!#REF!="Baja",'Mapa final'!#REF!="Menor"),CONCATENATE("R1C",'Mapa final'!#REF!),"")</f>
        <v>#REF!</v>
      </c>
      <c r="R36" s="56" t="e">
        <f>IF(AND('Mapa final'!#REF!="Baja",'Mapa final'!#REF!="Menor"),CONCATENATE("R1C",'Mapa final'!#REF!),"")</f>
        <v>#REF!</v>
      </c>
      <c r="S36" s="56" t="e">
        <f>IF(AND('Mapa final'!#REF!="Baja",'Mapa final'!#REF!="Menor"),CONCATENATE("R1C",'Mapa final'!#REF!),"")</f>
        <v>#REF!</v>
      </c>
      <c r="T36" s="56" t="e">
        <f>IF(AND('Mapa final'!#REF!="Baja",'Mapa final'!#REF!="Menor"),CONCATENATE("R1C",'Mapa final'!#REF!),"")</f>
        <v>#REF!</v>
      </c>
      <c r="U36" s="57" t="e">
        <f>IF(AND('Mapa final'!#REF!="Baja",'Mapa final'!#REF!="Menor"),CONCATENATE("R1C",'Mapa final'!#REF!),"")</f>
        <v>#REF!</v>
      </c>
      <c r="V36" s="55" t="e">
        <f>IF(AND('Mapa final'!#REF!="Baja",'Mapa final'!#REF!="Moderado"),CONCATENATE("R1C",'Mapa final'!#REF!),"")</f>
        <v>#REF!</v>
      </c>
      <c r="W36" s="56" t="e">
        <f>IF(AND('Mapa final'!#REF!="Baja",'Mapa final'!#REF!="Moderado"),CONCATENATE("R1C",'Mapa final'!#REF!),"")</f>
        <v>#REF!</v>
      </c>
      <c r="X36" s="56" t="e">
        <f>IF(AND('Mapa final'!#REF!="Baja",'Mapa final'!#REF!="Moderado"),CONCATENATE("R1C",'Mapa final'!#REF!),"")</f>
        <v>#REF!</v>
      </c>
      <c r="Y36" s="56" t="e">
        <f>IF(AND('Mapa final'!#REF!="Baja",'Mapa final'!#REF!="Moderado"),CONCATENATE("R1C",'Mapa final'!#REF!),"")</f>
        <v>#REF!</v>
      </c>
      <c r="Z36" s="56" t="e">
        <f>IF(AND('Mapa final'!#REF!="Baja",'Mapa final'!#REF!="Moderado"),CONCATENATE("R1C",'Mapa final'!#REF!),"")</f>
        <v>#REF!</v>
      </c>
      <c r="AA36" s="57" t="e">
        <f>IF(AND('Mapa final'!#REF!="Baja",'Mapa final'!#REF!="Moderado"),CONCATENATE("R1C",'Mapa final'!#REF!),"")</f>
        <v>#REF!</v>
      </c>
      <c r="AB36" s="37" t="e">
        <f>IF(AND('Mapa final'!#REF!="Baja",'Mapa final'!#REF!="Mayor"),CONCATENATE("R1C",'Mapa final'!#REF!),"")</f>
        <v>#REF!</v>
      </c>
      <c r="AC36" s="38" t="e">
        <f>IF(AND('Mapa final'!#REF!="Baja",'Mapa final'!#REF!="Mayor"),CONCATENATE("R1C",'Mapa final'!#REF!),"")</f>
        <v>#REF!</v>
      </c>
      <c r="AD36" s="38" t="e">
        <f>IF(AND('Mapa final'!#REF!="Baja",'Mapa final'!#REF!="Mayor"),CONCATENATE("R1C",'Mapa final'!#REF!),"")</f>
        <v>#REF!</v>
      </c>
      <c r="AE36" s="38" t="e">
        <f>IF(AND('Mapa final'!#REF!="Baja",'Mapa final'!#REF!="Mayor"),CONCATENATE("R1C",'Mapa final'!#REF!),"")</f>
        <v>#REF!</v>
      </c>
      <c r="AF36" s="38" t="e">
        <f>IF(AND('Mapa final'!#REF!="Baja",'Mapa final'!#REF!="Mayor"),CONCATENATE("R1C",'Mapa final'!#REF!),"")</f>
        <v>#REF!</v>
      </c>
      <c r="AG36" s="39" t="e">
        <f>IF(AND('Mapa final'!#REF!="Baja",'Mapa final'!#REF!="Mayor"),CONCATENATE("R1C",'Mapa final'!#REF!),"")</f>
        <v>#REF!</v>
      </c>
      <c r="AH36" s="40" t="e">
        <f>IF(AND('Mapa final'!#REF!="Baja",'Mapa final'!#REF!="Catastrófico"),CONCATENATE("R1C",'Mapa final'!#REF!),"")</f>
        <v>#REF!</v>
      </c>
      <c r="AI36" s="41" t="e">
        <f>IF(AND('Mapa final'!#REF!="Baja",'Mapa final'!#REF!="Catastrófico"),CONCATENATE("R1C",'Mapa final'!#REF!),"")</f>
        <v>#REF!</v>
      </c>
      <c r="AJ36" s="41" t="e">
        <f>IF(AND('Mapa final'!#REF!="Baja",'Mapa final'!#REF!="Catastrófico"),CONCATENATE("R1C",'Mapa final'!#REF!),"")</f>
        <v>#REF!</v>
      </c>
      <c r="AK36" s="41" t="e">
        <f>IF(AND('Mapa final'!#REF!="Baja",'Mapa final'!#REF!="Catastrófico"),CONCATENATE("R1C",'Mapa final'!#REF!),"")</f>
        <v>#REF!</v>
      </c>
      <c r="AL36" s="41" t="e">
        <f>IF(AND('Mapa final'!#REF!="Baja",'Mapa final'!#REF!="Catastrófico"),CONCATENATE("R1C",'Mapa final'!#REF!),"")</f>
        <v>#REF!</v>
      </c>
      <c r="AM36" s="42" t="e">
        <f>IF(AND('Mapa final'!#REF!="Baja",'Mapa final'!#REF!="Catastrófico"),CONCATENATE("R1C",'Mapa final'!#REF!),"")</f>
        <v>#REF!</v>
      </c>
      <c r="AN36" s="74"/>
      <c r="AO36" s="353" t="s">
        <v>82</v>
      </c>
      <c r="AP36" s="354"/>
      <c r="AQ36" s="354"/>
      <c r="AR36" s="354"/>
      <c r="AS36" s="354"/>
      <c r="AT36" s="355"/>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row>
    <row r="37" spans="1:80" ht="15" customHeight="1" x14ac:dyDescent="0.25">
      <c r="A37" s="74"/>
      <c r="B37" s="237"/>
      <c r="C37" s="237"/>
      <c r="D37" s="238"/>
      <c r="E37" s="334"/>
      <c r="F37" s="335"/>
      <c r="G37" s="335"/>
      <c r="H37" s="335"/>
      <c r="I37" s="335"/>
      <c r="J37" s="67" t="e">
        <f>IF(AND('Mapa final'!#REF!="Baja",'Mapa final'!#REF!="Leve"),CONCATENATE("R2C",'Mapa final'!#REF!),"")</f>
        <v>#REF!</v>
      </c>
      <c r="K37" s="68" t="e">
        <f>IF(AND('Mapa final'!#REF!="Baja",'Mapa final'!#REF!="Leve"),CONCATENATE("R2C",'Mapa final'!#REF!),"")</f>
        <v>#REF!</v>
      </c>
      <c r="L37" s="68" t="e">
        <f>IF(AND('Mapa final'!#REF!="Baja",'Mapa final'!#REF!="Leve"),CONCATENATE("R2C",'Mapa final'!#REF!),"")</f>
        <v>#REF!</v>
      </c>
      <c r="M37" s="68" t="e">
        <f>IF(AND('Mapa final'!#REF!="Baja",'Mapa final'!#REF!="Leve"),CONCATENATE("R2C",'Mapa final'!#REF!),"")</f>
        <v>#REF!</v>
      </c>
      <c r="N37" s="68" t="e">
        <f>IF(AND('Mapa final'!#REF!="Baja",'Mapa final'!#REF!="Leve"),CONCATENATE("R2C",'Mapa final'!#REF!),"")</f>
        <v>#REF!</v>
      </c>
      <c r="O37" s="69" t="e">
        <f>IF(AND('Mapa final'!#REF!="Baja",'Mapa final'!#REF!="Leve"),CONCATENATE("R2C",'Mapa final'!#REF!),"")</f>
        <v>#REF!</v>
      </c>
      <c r="P37" s="58" t="e">
        <f>IF(AND('Mapa final'!#REF!="Baja",'Mapa final'!#REF!="Menor"),CONCATENATE("R2C",'Mapa final'!#REF!),"")</f>
        <v>#REF!</v>
      </c>
      <c r="Q37" s="59" t="e">
        <f>IF(AND('Mapa final'!#REF!="Baja",'Mapa final'!#REF!="Menor"),CONCATENATE("R2C",'Mapa final'!#REF!),"")</f>
        <v>#REF!</v>
      </c>
      <c r="R37" s="59" t="e">
        <f>IF(AND('Mapa final'!#REF!="Baja",'Mapa final'!#REF!="Menor"),CONCATENATE("R2C",'Mapa final'!#REF!),"")</f>
        <v>#REF!</v>
      </c>
      <c r="S37" s="59" t="e">
        <f>IF(AND('Mapa final'!#REF!="Baja",'Mapa final'!#REF!="Menor"),CONCATENATE("R2C",'Mapa final'!#REF!),"")</f>
        <v>#REF!</v>
      </c>
      <c r="T37" s="59" t="e">
        <f>IF(AND('Mapa final'!#REF!="Baja",'Mapa final'!#REF!="Menor"),CONCATENATE("R2C",'Mapa final'!#REF!),"")</f>
        <v>#REF!</v>
      </c>
      <c r="U37" s="60" t="e">
        <f>IF(AND('Mapa final'!#REF!="Baja",'Mapa final'!#REF!="Menor"),CONCATENATE("R2C",'Mapa final'!#REF!),"")</f>
        <v>#REF!</v>
      </c>
      <c r="V37" s="58" t="e">
        <f>IF(AND('Mapa final'!#REF!="Baja",'Mapa final'!#REF!="Moderado"),CONCATENATE("R2C",'Mapa final'!#REF!),"")</f>
        <v>#REF!</v>
      </c>
      <c r="W37" s="59" t="e">
        <f>IF(AND('Mapa final'!#REF!="Baja",'Mapa final'!#REF!="Moderado"),CONCATENATE("R2C",'Mapa final'!#REF!),"")</f>
        <v>#REF!</v>
      </c>
      <c r="X37" s="59" t="e">
        <f>IF(AND('Mapa final'!#REF!="Baja",'Mapa final'!#REF!="Moderado"),CONCATENATE("R2C",'Mapa final'!#REF!),"")</f>
        <v>#REF!</v>
      </c>
      <c r="Y37" s="59" t="e">
        <f>IF(AND('Mapa final'!#REF!="Baja",'Mapa final'!#REF!="Moderado"),CONCATENATE("R2C",'Mapa final'!#REF!),"")</f>
        <v>#REF!</v>
      </c>
      <c r="Z37" s="59" t="e">
        <f>IF(AND('Mapa final'!#REF!="Baja",'Mapa final'!#REF!="Moderado"),CONCATENATE("R2C",'Mapa final'!#REF!),"")</f>
        <v>#REF!</v>
      </c>
      <c r="AA37" s="60" t="e">
        <f>IF(AND('Mapa final'!#REF!="Baja",'Mapa final'!#REF!="Moderado"),CONCATENATE("R2C",'Mapa final'!#REF!),"")</f>
        <v>#REF!</v>
      </c>
      <c r="AB37" s="43" t="e">
        <f>IF(AND('Mapa final'!#REF!="Baja",'Mapa final'!#REF!="Mayor"),CONCATENATE("R2C",'Mapa final'!#REF!),"")</f>
        <v>#REF!</v>
      </c>
      <c r="AC37" s="44" t="e">
        <f>IF(AND('Mapa final'!#REF!="Baja",'Mapa final'!#REF!="Mayor"),CONCATENATE("R2C",'Mapa final'!#REF!),"")</f>
        <v>#REF!</v>
      </c>
      <c r="AD37" s="44" t="e">
        <f>IF(AND('Mapa final'!#REF!="Baja",'Mapa final'!#REF!="Mayor"),CONCATENATE("R2C",'Mapa final'!#REF!),"")</f>
        <v>#REF!</v>
      </c>
      <c r="AE37" s="44" t="e">
        <f>IF(AND('Mapa final'!#REF!="Baja",'Mapa final'!#REF!="Mayor"),CONCATENATE("R2C",'Mapa final'!#REF!),"")</f>
        <v>#REF!</v>
      </c>
      <c r="AF37" s="44" t="e">
        <f>IF(AND('Mapa final'!#REF!="Baja",'Mapa final'!#REF!="Mayor"),CONCATENATE("R2C",'Mapa final'!#REF!),"")</f>
        <v>#REF!</v>
      </c>
      <c r="AG37" s="45" t="e">
        <f>IF(AND('Mapa final'!#REF!="Baja",'Mapa final'!#REF!="Mayor"),CONCATENATE("R2C",'Mapa final'!#REF!),"")</f>
        <v>#REF!</v>
      </c>
      <c r="AH37" s="46" t="e">
        <f>IF(AND('Mapa final'!#REF!="Baja",'Mapa final'!#REF!="Catastrófico"),CONCATENATE("R2C",'Mapa final'!#REF!),"")</f>
        <v>#REF!</v>
      </c>
      <c r="AI37" s="47" t="e">
        <f>IF(AND('Mapa final'!#REF!="Baja",'Mapa final'!#REF!="Catastrófico"),CONCATENATE("R2C",'Mapa final'!#REF!),"")</f>
        <v>#REF!</v>
      </c>
      <c r="AJ37" s="47" t="e">
        <f>IF(AND('Mapa final'!#REF!="Baja",'Mapa final'!#REF!="Catastrófico"),CONCATENATE("R2C",'Mapa final'!#REF!),"")</f>
        <v>#REF!</v>
      </c>
      <c r="AK37" s="47" t="e">
        <f>IF(AND('Mapa final'!#REF!="Baja",'Mapa final'!#REF!="Catastrófico"),CONCATENATE("R2C",'Mapa final'!#REF!),"")</f>
        <v>#REF!</v>
      </c>
      <c r="AL37" s="47" t="e">
        <f>IF(AND('Mapa final'!#REF!="Baja",'Mapa final'!#REF!="Catastrófico"),CONCATENATE("R2C",'Mapa final'!#REF!),"")</f>
        <v>#REF!</v>
      </c>
      <c r="AM37" s="48" t="e">
        <f>IF(AND('Mapa final'!#REF!="Baja",'Mapa final'!#REF!="Catastrófico"),CONCATENATE("R2C",'Mapa final'!#REF!),"")</f>
        <v>#REF!</v>
      </c>
      <c r="AN37" s="74"/>
      <c r="AO37" s="356"/>
      <c r="AP37" s="357"/>
      <c r="AQ37" s="357"/>
      <c r="AR37" s="357"/>
      <c r="AS37" s="357"/>
      <c r="AT37" s="358"/>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row>
    <row r="38" spans="1:80" ht="15" customHeight="1" x14ac:dyDescent="0.25">
      <c r="A38" s="74"/>
      <c r="B38" s="237"/>
      <c r="C38" s="237"/>
      <c r="D38" s="238"/>
      <c r="E38" s="336"/>
      <c r="F38" s="335"/>
      <c r="G38" s="335"/>
      <c r="H38" s="335"/>
      <c r="I38" s="335"/>
      <c r="J38" s="67" t="str">
        <f ca="1">IF(AND('Mapa final'!$Y$10="Baja",'Mapa final'!$AA$10="Leve"),CONCATENATE("R3C",'Mapa final'!$O$10),"")</f>
        <v/>
      </c>
      <c r="K38" s="68" t="str">
        <f ca="1">IF(AND('Mapa final'!$Y$11="Baja",'Mapa final'!$AA$11="Leve"),CONCATENATE("R3C",'Mapa final'!$O$11),"")</f>
        <v/>
      </c>
      <c r="L38" s="68" t="str">
        <f ca="1">IF(AND('Mapa final'!$Y$12="Baja",'Mapa final'!$AA$12="Leve"),CONCATENATE("R3C",'Mapa final'!$O$12),"")</f>
        <v/>
      </c>
      <c r="M38" s="68" t="str">
        <f ca="1">IF(AND('Mapa final'!$Y$13="Baja",'Mapa final'!$AA$13="Leve"),CONCATENATE("R3C",'Mapa final'!$O$13),"")</f>
        <v/>
      </c>
      <c r="N38" s="68" t="str">
        <f>IF(AND('Mapa final'!$Y$14="Baja",'Mapa final'!$AA$14="Leve"),CONCATENATE("R3C",'Mapa final'!$O$14),"")</f>
        <v/>
      </c>
      <c r="O38" s="69" t="str">
        <f>IF(AND('Mapa final'!$Y$15="Baja",'Mapa final'!$AA$15="Leve"),CONCATENATE("R3C",'Mapa final'!$O$15),"")</f>
        <v/>
      </c>
      <c r="P38" s="58" t="str">
        <f ca="1">IF(AND('Mapa final'!$Y$10="Baja",'Mapa final'!$AA$10="Menor"),CONCATENATE("R3C",'Mapa final'!$O$10),"")</f>
        <v/>
      </c>
      <c r="Q38" s="59" t="str">
        <f ca="1">IF(AND('Mapa final'!$Y$11="Baja",'Mapa final'!$AA$11="Menor"),CONCATENATE("R3C",'Mapa final'!$O$11),"")</f>
        <v/>
      </c>
      <c r="R38" s="59" t="str">
        <f ca="1">IF(AND('Mapa final'!$Y$12="Baja",'Mapa final'!$AA$12="Menor"),CONCATENATE("R3C",'Mapa final'!$O$12),"")</f>
        <v/>
      </c>
      <c r="S38" s="59" t="str">
        <f ca="1">IF(AND('Mapa final'!$Y$13="Baja",'Mapa final'!$AA$13="Menor"),CONCATENATE("R3C",'Mapa final'!$O$13),"")</f>
        <v/>
      </c>
      <c r="T38" s="59" t="str">
        <f>IF(AND('Mapa final'!$Y$14="Baja",'Mapa final'!$AA$14="Menor"),CONCATENATE("R3C",'Mapa final'!$O$14),"")</f>
        <v/>
      </c>
      <c r="U38" s="60" t="str">
        <f>IF(AND('Mapa final'!$Y$15="Baja",'Mapa final'!$AA$15="Menor"),CONCATENATE("R3C",'Mapa final'!$O$15),"")</f>
        <v/>
      </c>
      <c r="V38" s="58" t="str">
        <f ca="1">IF(AND('Mapa final'!$Y$10="Baja",'Mapa final'!$AA$10="Moderado"),CONCATENATE("R3C",'Mapa final'!$O$10),"")</f>
        <v/>
      </c>
      <c r="W38" s="59" t="str">
        <f ca="1">IF(AND('Mapa final'!$Y$11="Baja",'Mapa final'!$AA$11="Moderado"),CONCATENATE("R3C",'Mapa final'!$O$11),"")</f>
        <v/>
      </c>
      <c r="X38" s="59" t="str">
        <f ca="1">IF(AND('Mapa final'!$Y$12="Baja",'Mapa final'!$AA$12="Moderado"),CONCATENATE("R3C",'Mapa final'!$O$12),"")</f>
        <v/>
      </c>
      <c r="Y38" s="59" t="str">
        <f ca="1">IF(AND('Mapa final'!$Y$13="Baja",'Mapa final'!$AA$13="Moderado"),CONCATENATE("R3C",'Mapa final'!$O$13),"")</f>
        <v/>
      </c>
      <c r="Z38" s="59" t="str">
        <f>IF(AND('Mapa final'!$Y$14="Baja",'Mapa final'!$AA$14="Moderado"),CONCATENATE("R3C",'Mapa final'!$O$14),"")</f>
        <v/>
      </c>
      <c r="AA38" s="60" t="str">
        <f>IF(AND('Mapa final'!$Y$15="Baja",'Mapa final'!$AA$15="Moderado"),CONCATENATE("R3C",'Mapa final'!$O$15),"")</f>
        <v/>
      </c>
      <c r="AB38" s="43" t="str">
        <f ca="1">IF(AND('Mapa final'!$Y$10="Baja",'Mapa final'!$AA$10="Mayor"),CONCATENATE("R3C",'Mapa final'!$O$10),"")</f>
        <v>R3C1</v>
      </c>
      <c r="AC38" s="44" t="str">
        <f ca="1">IF(AND('Mapa final'!$Y$11="Baja",'Mapa final'!$AA$11="Mayor"),CONCATENATE("R3C",'Mapa final'!$O$11),"")</f>
        <v>R3C2</v>
      </c>
      <c r="AD38" s="44" t="str">
        <f ca="1">IF(AND('Mapa final'!$Y$12="Baja",'Mapa final'!$AA$12="Mayor"),CONCATENATE("R3C",'Mapa final'!$O$12),"")</f>
        <v/>
      </c>
      <c r="AE38" s="44" t="str">
        <f ca="1">IF(AND('Mapa final'!$Y$13="Baja",'Mapa final'!$AA$13="Mayor"),CONCATENATE("R3C",'Mapa final'!$O$13),"")</f>
        <v/>
      </c>
      <c r="AF38" s="44" t="str">
        <f>IF(AND('Mapa final'!$Y$14="Baja",'Mapa final'!$AA$14="Mayor"),CONCATENATE("R3C",'Mapa final'!$O$14),"")</f>
        <v/>
      </c>
      <c r="AG38" s="45" t="str">
        <f>IF(AND('Mapa final'!$Y$15="Baja",'Mapa final'!$AA$15="Mayor"),CONCATENATE("R3C",'Mapa final'!$O$15),"")</f>
        <v/>
      </c>
      <c r="AH38" s="46" t="str">
        <f ca="1">IF(AND('Mapa final'!$Y$10="Baja",'Mapa final'!$AA$10="Catastrófico"),CONCATENATE("R3C",'Mapa final'!$O$10),"")</f>
        <v/>
      </c>
      <c r="AI38" s="47" t="str">
        <f ca="1">IF(AND('Mapa final'!$Y$11="Baja",'Mapa final'!$AA$11="Catastrófico"),CONCATENATE("R3C",'Mapa final'!$O$11),"")</f>
        <v/>
      </c>
      <c r="AJ38" s="47" t="str">
        <f ca="1">IF(AND('Mapa final'!$Y$12="Baja",'Mapa final'!$AA$12="Catastrófico"),CONCATENATE("R3C",'Mapa final'!$O$12),"")</f>
        <v/>
      </c>
      <c r="AK38" s="47" t="str">
        <f ca="1">IF(AND('Mapa final'!$Y$13="Baja",'Mapa final'!$AA$13="Catastrófico"),CONCATENATE("R3C",'Mapa final'!$O$13),"")</f>
        <v/>
      </c>
      <c r="AL38" s="47" t="str">
        <f>IF(AND('Mapa final'!$Y$14="Baja",'Mapa final'!$AA$14="Catastrófico"),CONCATENATE("R3C",'Mapa final'!$O$14),"")</f>
        <v/>
      </c>
      <c r="AM38" s="48" t="str">
        <f>IF(AND('Mapa final'!$Y$15="Baja",'Mapa final'!$AA$15="Catastrófico"),CONCATENATE("R3C",'Mapa final'!$O$15),"")</f>
        <v/>
      </c>
      <c r="AN38" s="74"/>
      <c r="AO38" s="356"/>
      <c r="AP38" s="357"/>
      <c r="AQ38" s="357"/>
      <c r="AR38" s="357"/>
      <c r="AS38" s="357"/>
      <c r="AT38" s="358"/>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row>
    <row r="39" spans="1:80" ht="15" customHeight="1" x14ac:dyDescent="0.25">
      <c r="A39" s="74"/>
      <c r="B39" s="237"/>
      <c r="C39" s="237"/>
      <c r="D39" s="238"/>
      <c r="E39" s="336"/>
      <c r="F39" s="335"/>
      <c r="G39" s="335"/>
      <c r="H39" s="335"/>
      <c r="I39" s="335"/>
      <c r="J39" s="67" t="str">
        <f ca="1">IF(AND('Mapa final'!$Y$16="Baja",'Mapa final'!$AA$16="Leve"),CONCATENATE("R4C",'Mapa final'!$O$16),"")</f>
        <v/>
      </c>
      <c r="K39" s="68" t="str">
        <f ca="1">IF(AND('Mapa final'!$Y$17="Baja",'Mapa final'!$AA$17="Leve"),CONCATENATE("R4C",'Mapa final'!$O$17),"")</f>
        <v/>
      </c>
      <c r="L39" s="68" t="str">
        <f ca="1">IF(AND('Mapa final'!$Y$18="Baja",'Mapa final'!$AA$18="Leve"),CONCATENATE("R4C",'Mapa final'!$O$18),"")</f>
        <v/>
      </c>
      <c r="M39" s="68" t="str">
        <f>IF(AND('Mapa final'!$Y$19="Baja",'Mapa final'!$AA$19="Leve"),CONCATENATE("R4C",'Mapa final'!$O$19),"")</f>
        <v/>
      </c>
      <c r="N39" s="68" t="str">
        <f>IF(AND('Mapa final'!$Y$20="Baja",'Mapa final'!$AA$20="Leve"),CONCATENATE("R4C",'Mapa final'!$O$20),"")</f>
        <v/>
      </c>
      <c r="O39" s="69" t="str">
        <f>IF(AND('Mapa final'!$Y$21="Baja",'Mapa final'!$AA$21="Leve"),CONCATENATE("R4C",'Mapa final'!$O$21),"")</f>
        <v/>
      </c>
      <c r="P39" s="58" t="str">
        <f ca="1">IF(AND('Mapa final'!$Y$16="Baja",'Mapa final'!$AA$16="Menor"),CONCATENATE("R4C",'Mapa final'!$O$16),"")</f>
        <v/>
      </c>
      <c r="Q39" s="59" t="str">
        <f ca="1">IF(AND('Mapa final'!$Y$17="Baja",'Mapa final'!$AA$17="Menor"),CONCATENATE("R4C",'Mapa final'!$O$17),"")</f>
        <v/>
      </c>
      <c r="R39" s="59" t="str">
        <f ca="1">IF(AND('Mapa final'!$Y$18="Baja",'Mapa final'!$AA$18="Menor"),CONCATENATE("R4C",'Mapa final'!$O$18),"")</f>
        <v/>
      </c>
      <c r="S39" s="59" t="str">
        <f>IF(AND('Mapa final'!$Y$19="Baja",'Mapa final'!$AA$19="Menor"),CONCATENATE("R4C",'Mapa final'!$O$19),"")</f>
        <v/>
      </c>
      <c r="T39" s="59" t="str">
        <f>IF(AND('Mapa final'!$Y$20="Baja",'Mapa final'!$AA$20="Menor"),CONCATENATE("R4C",'Mapa final'!$O$20),"")</f>
        <v/>
      </c>
      <c r="U39" s="60" t="str">
        <f>IF(AND('Mapa final'!$Y$21="Baja",'Mapa final'!$AA$21="Menor"),CONCATENATE("R4C",'Mapa final'!$O$21),"")</f>
        <v/>
      </c>
      <c r="V39" s="58" t="str">
        <f ca="1">IF(AND('Mapa final'!$Y$16="Baja",'Mapa final'!$AA$16="Moderado"),CONCATENATE("R4C",'Mapa final'!$O$16),"")</f>
        <v/>
      </c>
      <c r="W39" s="59" t="str">
        <f ca="1">IF(AND('Mapa final'!$Y$17="Baja",'Mapa final'!$AA$17="Moderado"),CONCATENATE("R4C",'Mapa final'!$O$17),"")</f>
        <v/>
      </c>
      <c r="X39" s="59" t="str">
        <f ca="1">IF(AND('Mapa final'!$Y$18="Baja",'Mapa final'!$AA$18="Moderado"),CONCATENATE("R4C",'Mapa final'!$O$18),"")</f>
        <v/>
      </c>
      <c r="Y39" s="59" t="str">
        <f>IF(AND('Mapa final'!$Y$19="Baja",'Mapa final'!$AA$19="Moderado"),CONCATENATE("R4C",'Mapa final'!$O$19),"")</f>
        <v/>
      </c>
      <c r="Z39" s="59" t="str">
        <f>IF(AND('Mapa final'!$Y$20="Baja",'Mapa final'!$AA$20="Moderado"),CONCATENATE("R4C",'Mapa final'!$O$20),"")</f>
        <v/>
      </c>
      <c r="AA39" s="60" t="str">
        <f>IF(AND('Mapa final'!$Y$21="Baja",'Mapa final'!$AA$21="Moderado"),CONCATENATE("R4C",'Mapa final'!$O$21),"")</f>
        <v/>
      </c>
      <c r="AB39" s="43" t="str">
        <f ca="1">IF(AND('Mapa final'!$Y$16="Baja",'Mapa final'!$AA$16="Mayor"),CONCATENATE("R4C",'Mapa final'!$O$16),"")</f>
        <v>R4C1</v>
      </c>
      <c r="AC39" s="44" t="str">
        <f ca="1">IF(AND('Mapa final'!$Y$17="Baja",'Mapa final'!$AA$17="Mayor"),CONCATENATE("R4C",'Mapa final'!$O$17),"")</f>
        <v>R4C2</v>
      </c>
      <c r="AD39" s="44" t="str">
        <f ca="1">IF(AND('Mapa final'!$Y$18="Baja",'Mapa final'!$AA$18="Mayor"),CONCATENATE("R4C",'Mapa final'!$O$18),"")</f>
        <v/>
      </c>
      <c r="AE39" s="44" t="str">
        <f>IF(AND('Mapa final'!$Y$19="Baja",'Mapa final'!$AA$19="Mayor"),CONCATENATE("R4C",'Mapa final'!$O$19),"")</f>
        <v/>
      </c>
      <c r="AF39" s="44" t="str">
        <f>IF(AND('Mapa final'!$Y$20="Baja",'Mapa final'!$AA$20="Mayor"),CONCATENATE("R4C",'Mapa final'!$O$20),"")</f>
        <v/>
      </c>
      <c r="AG39" s="45" t="str">
        <f>IF(AND('Mapa final'!$Y$21="Baja",'Mapa final'!$AA$21="Mayor"),CONCATENATE("R4C",'Mapa final'!$O$21),"")</f>
        <v/>
      </c>
      <c r="AH39" s="46" t="str">
        <f ca="1">IF(AND('Mapa final'!$Y$16="Baja",'Mapa final'!$AA$16="Catastrófico"),CONCATENATE("R4C",'Mapa final'!$O$16),"")</f>
        <v/>
      </c>
      <c r="AI39" s="47" t="str">
        <f ca="1">IF(AND('Mapa final'!$Y$17="Baja",'Mapa final'!$AA$17="Catastrófico"),CONCATENATE("R4C",'Mapa final'!$O$17),"")</f>
        <v/>
      </c>
      <c r="AJ39" s="47" t="str">
        <f ca="1">IF(AND('Mapa final'!$Y$18="Baja",'Mapa final'!$AA$18="Catastrófico"),CONCATENATE("R4C",'Mapa final'!$O$18),"")</f>
        <v/>
      </c>
      <c r="AK39" s="47" t="str">
        <f>IF(AND('Mapa final'!$Y$19="Baja",'Mapa final'!$AA$19="Catastrófico"),CONCATENATE("R4C",'Mapa final'!$O$19),"")</f>
        <v/>
      </c>
      <c r="AL39" s="47" t="str">
        <f>IF(AND('Mapa final'!$Y$20="Baja",'Mapa final'!$AA$20="Catastrófico"),CONCATENATE("R4C",'Mapa final'!$O$20),"")</f>
        <v/>
      </c>
      <c r="AM39" s="48" t="str">
        <f>IF(AND('Mapa final'!$Y$21="Baja",'Mapa final'!$AA$21="Catastrófico"),CONCATENATE("R4C",'Mapa final'!$O$21),"")</f>
        <v/>
      </c>
      <c r="AN39" s="74"/>
      <c r="AO39" s="356"/>
      <c r="AP39" s="357"/>
      <c r="AQ39" s="357"/>
      <c r="AR39" s="357"/>
      <c r="AS39" s="357"/>
      <c r="AT39" s="358"/>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row>
    <row r="40" spans="1:80" ht="15" customHeight="1" x14ac:dyDescent="0.25">
      <c r="A40" s="74"/>
      <c r="B40" s="237"/>
      <c r="C40" s="237"/>
      <c r="D40" s="238"/>
      <c r="E40" s="336"/>
      <c r="F40" s="335"/>
      <c r="G40" s="335"/>
      <c r="H40" s="335"/>
      <c r="I40" s="335"/>
      <c r="J40" s="67" t="str">
        <f ca="1">IF(AND('Mapa final'!$Y$22="Baja",'Mapa final'!$AA$22="Leve"),CONCATENATE("R5C",'Mapa final'!$O$22),"")</f>
        <v/>
      </c>
      <c r="K40" s="68" t="str">
        <f ca="1">IF(AND('Mapa final'!$Y$23="Baja",'Mapa final'!$AA$23="Leve"),CONCATENATE("R5C",'Mapa final'!$O$23),"")</f>
        <v/>
      </c>
      <c r="L40" s="68" t="str">
        <f ca="1">IF(AND('Mapa final'!$Y$24="Baja",'Mapa final'!$AA$24="Leve"),CONCATENATE("R5C",'Mapa final'!$O$24),"")</f>
        <v/>
      </c>
      <c r="M40" s="68" t="str">
        <f>IF(AND('Mapa final'!$Y$25="Baja",'Mapa final'!$AA$25="Leve"),CONCATENATE("R5C",'Mapa final'!$O$25),"")</f>
        <v/>
      </c>
      <c r="N40" s="68" t="str">
        <f>IF(AND('Mapa final'!$Y$26="Baja",'Mapa final'!$AA$26="Leve"),CONCATENATE("R5C",'Mapa final'!$O$26),"")</f>
        <v/>
      </c>
      <c r="O40" s="69" t="str">
        <f>IF(AND('Mapa final'!$Y$27="Baja",'Mapa final'!$AA$27="Leve"),CONCATENATE("R5C",'Mapa final'!$O$27),"")</f>
        <v/>
      </c>
      <c r="P40" s="58" t="str">
        <f ca="1">IF(AND('Mapa final'!$Y$22="Baja",'Mapa final'!$AA$22="Menor"),CONCATENATE("R5C",'Mapa final'!$O$22),"")</f>
        <v/>
      </c>
      <c r="Q40" s="59" t="str">
        <f ca="1">IF(AND('Mapa final'!$Y$23="Baja",'Mapa final'!$AA$23="Menor"),CONCATENATE("R5C",'Mapa final'!$O$23),"")</f>
        <v/>
      </c>
      <c r="R40" s="59" t="str">
        <f ca="1">IF(AND('Mapa final'!$Y$24="Baja",'Mapa final'!$AA$24="Menor"),CONCATENATE("R5C",'Mapa final'!$O$24),"")</f>
        <v/>
      </c>
      <c r="S40" s="59" t="str">
        <f>IF(AND('Mapa final'!$Y$25="Baja",'Mapa final'!$AA$25="Menor"),CONCATENATE("R5C",'Mapa final'!$O$25),"")</f>
        <v/>
      </c>
      <c r="T40" s="59" t="str">
        <f>IF(AND('Mapa final'!$Y$26="Baja",'Mapa final'!$AA$26="Menor"),CONCATENATE("R5C",'Mapa final'!$O$26),"")</f>
        <v/>
      </c>
      <c r="U40" s="60" t="str">
        <f>IF(AND('Mapa final'!$Y$27="Baja",'Mapa final'!$AA$27="Menor"),CONCATENATE("R5C",'Mapa final'!$O$27),"")</f>
        <v/>
      </c>
      <c r="V40" s="58" t="str">
        <f ca="1">IF(AND('Mapa final'!$Y$22="Baja",'Mapa final'!$AA$22="Moderado"),CONCATENATE("R5C",'Mapa final'!$O$22),"")</f>
        <v/>
      </c>
      <c r="W40" s="59" t="str">
        <f ca="1">IF(AND('Mapa final'!$Y$23="Baja",'Mapa final'!$AA$23="Moderado"),CONCATENATE("R5C",'Mapa final'!$O$23),"")</f>
        <v/>
      </c>
      <c r="X40" s="59" t="str">
        <f ca="1">IF(AND('Mapa final'!$Y$24="Baja",'Mapa final'!$AA$24="Moderado"),CONCATENATE("R5C",'Mapa final'!$O$24),"")</f>
        <v>R5C3</v>
      </c>
      <c r="Y40" s="59" t="str">
        <f>IF(AND('Mapa final'!$Y$25="Baja",'Mapa final'!$AA$25="Moderado"),CONCATENATE("R5C",'Mapa final'!$O$25),"")</f>
        <v/>
      </c>
      <c r="Z40" s="59" t="str">
        <f>IF(AND('Mapa final'!$Y$26="Baja",'Mapa final'!$AA$26="Moderado"),CONCATENATE("R5C",'Mapa final'!$O$26),"")</f>
        <v/>
      </c>
      <c r="AA40" s="60" t="str">
        <f>IF(AND('Mapa final'!$Y$27="Baja",'Mapa final'!$AA$27="Moderado"),CONCATENATE("R5C",'Mapa final'!$O$27),"")</f>
        <v/>
      </c>
      <c r="AB40" s="43" t="str">
        <f ca="1">IF(AND('Mapa final'!$Y$22="Baja",'Mapa final'!$AA$22="Mayor"),CONCATENATE("R5C",'Mapa final'!$O$22),"")</f>
        <v/>
      </c>
      <c r="AC40" s="44" t="str">
        <f ca="1">IF(AND('Mapa final'!$Y$23="Baja",'Mapa final'!$AA$23="Mayor"),CONCATENATE("R5C",'Mapa final'!$O$23),"")</f>
        <v/>
      </c>
      <c r="AD40" s="44" t="str">
        <f ca="1">IF(AND('Mapa final'!$Y$24="Baja",'Mapa final'!$AA$24="Mayor"),CONCATENATE("R5C",'Mapa final'!$O$24),"")</f>
        <v/>
      </c>
      <c r="AE40" s="44" t="str">
        <f>IF(AND('Mapa final'!$Y$25="Baja",'Mapa final'!$AA$25="Mayor"),CONCATENATE("R5C",'Mapa final'!$O$25),"")</f>
        <v/>
      </c>
      <c r="AF40" s="44" t="str">
        <f>IF(AND('Mapa final'!$Y$26="Baja",'Mapa final'!$AA$26="Mayor"),CONCATENATE("R5C",'Mapa final'!$O$26),"")</f>
        <v/>
      </c>
      <c r="AG40" s="45" t="str">
        <f>IF(AND('Mapa final'!$Y$27="Baja",'Mapa final'!$AA$27="Mayor"),CONCATENATE("R5C",'Mapa final'!$O$27),"")</f>
        <v/>
      </c>
      <c r="AH40" s="46" t="str">
        <f ca="1">IF(AND('Mapa final'!$Y$22="Baja",'Mapa final'!$AA$22="Catastrófico"),CONCATENATE("R5C",'Mapa final'!$O$22),"")</f>
        <v/>
      </c>
      <c r="AI40" s="47" t="str">
        <f ca="1">IF(AND('Mapa final'!$Y$23="Baja",'Mapa final'!$AA$23="Catastrófico"),CONCATENATE("R5C",'Mapa final'!$O$23),"")</f>
        <v/>
      </c>
      <c r="AJ40" s="47" t="str">
        <f ca="1">IF(AND('Mapa final'!$Y$24="Baja",'Mapa final'!$AA$24="Catastrófico"),CONCATENATE("R5C",'Mapa final'!$O$24),"")</f>
        <v/>
      </c>
      <c r="AK40" s="47" t="str">
        <f>IF(AND('Mapa final'!$Y$25="Baja",'Mapa final'!$AA$25="Catastrófico"),CONCATENATE("R5C",'Mapa final'!$O$25),"")</f>
        <v/>
      </c>
      <c r="AL40" s="47" t="str">
        <f>IF(AND('Mapa final'!$Y$26="Baja",'Mapa final'!$AA$26="Catastrófico"),CONCATENATE("R5C",'Mapa final'!$O$26),"")</f>
        <v/>
      </c>
      <c r="AM40" s="48" t="str">
        <f>IF(AND('Mapa final'!$Y$27="Baja",'Mapa final'!$AA$27="Catastrófico"),CONCATENATE("R5C",'Mapa final'!$O$27),"")</f>
        <v/>
      </c>
      <c r="AN40" s="74"/>
      <c r="AO40" s="356"/>
      <c r="AP40" s="357"/>
      <c r="AQ40" s="357"/>
      <c r="AR40" s="357"/>
      <c r="AS40" s="357"/>
      <c r="AT40" s="358"/>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row>
    <row r="41" spans="1:80" ht="15" customHeight="1" x14ac:dyDescent="0.25">
      <c r="A41" s="74"/>
      <c r="B41" s="237"/>
      <c r="C41" s="237"/>
      <c r="D41" s="238"/>
      <c r="E41" s="336"/>
      <c r="F41" s="335"/>
      <c r="G41" s="335"/>
      <c r="H41" s="335"/>
      <c r="I41" s="335"/>
      <c r="J41" s="67" t="str">
        <f ca="1">IF(AND('Mapa final'!$Y$28="Baja",'Mapa final'!$AA$28="Leve"),CONCATENATE("R6C",'Mapa final'!$O$28),"")</f>
        <v/>
      </c>
      <c r="K41" s="68" t="str">
        <f ca="1">IF(AND('Mapa final'!$Y$29="Baja",'Mapa final'!$AA$29="Leve"),CONCATENATE("R6C",'Mapa final'!$O$29),"")</f>
        <v/>
      </c>
      <c r="L41" s="68" t="str">
        <f ca="1">IF(AND('Mapa final'!$Y$30="Baja",'Mapa final'!$AA$30="Leve"),CONCATENATE("R6C",'Mapa final'!$O$30),"")</f>
        <v/>
      </c>
      <c r="M41" s="68" t="str">
        <f>IF(AND('Mapa final'!$Y$31="Baja",'Mapa final'!$AA$31="Leve"),CONCATENATE("R6C",'Mapa final'!$O$31),"")</f>
        <v/>
      </c>
      <c r="N41" s="68" t="str">
        <f>IF(AND('Mapa final'!$Y$32="Baja",'Mapa final'!$AA$32="Leve"),CONCATENATE("R6C",'Mapa final'!$O$32),"")</f>
        <v/>
      </c>
      <c r="O41" s="69" t="str">
        <f>IF(AND('Mapa final'!$Y$33="Baja",'Mapa final'!$AA$33="Leve"),CONCATENATE("R6C",'Mapa final'!$O$33),"")</f>
        <v/>
      </c>
      <c r="P41" s="58" t="str">
        <f ca="1">IF(AND('Mapa final'!$Y$28="Baja",'Mapa final'!$AA$28="Menor"),CONCATENATE("R6C",'Mapa final'!$O$28),"")</f>
        <v/>
      </c>
      <c r="Q41" s="59" t="str">
        <f ca="1">IF(AND('Mapa final'!$Y$29="Baja",'Mapa final'!$AA$29="Menor"),CONCATENATE("R6C",'Mapa final'!$O$29),"")</f>
        <v/>
      </c>
      <c r="R41" s="59" t="str">
        <f ca="1">IF(AND('Mapa final'!$Y$30="Baja",'Mapa final'!$AA$30="Menor"),CONCATENATE("R6C",'Mapa final'!$O$30),"")</f>
        <v/>
      </c>
      <c r="S41" s="59" t="str">
        <f>IF(AND('Mapa final'!$Y$31="Baja",'Mapa final'!$AA$31="Menor"),CONCATENATE("R6C",'Mapa final'!$O$31),"")</f>
        <v/>
      </c>
      <c r="T41" s="59" t="str">
        <f>IF(AND('Mapa final'!$Y$32="Baja",'Mapa final'!$AA$32="Menor"),CONCATENATE("R6C",'Mapa final'!$O$32),"")</f>
        <v/>
      </c>
      <c r="U41" s="60" t="str">
        <f>IF(AND('Mapa final'!$Y$33="Baja",'Mapa final'!$AA$33="Menor"),CONCATENATE("R6C",'Mapa final'!$O$33),"")</f>
        <v/>
      </c>
      <c r="V41" s="58" t="str">
        <f ca="1">IF(AND('Mapa final'!$Y$28="Baja",'Mapa final'!$AA$28="Moderado"),CONCATENATE("R6C",'Mapa final'!$O$28),"")</f>
        <v/>
      </c>
      <c r="W41" s="59" t="str">
        <f ca="1">IF(AND('Mapa final'!$Y$29="Baja",'Mapa final'!$AA$29="Moderado"),CONCATENATE("R6C",'Mapa final'!$O$29),"")</f>
        <v>R6C2</v>
      </c>
      <c r="X41" s="59" t="str">
        <f ca="1">IF(AND('Mapa final'!$Y$30="Baja",'Mapa final'!$AA$30="Moderado"),CONCATENATE("R6C",'Mapa final'!$O$30),"")</f>
        <v>R6C3</v>
      </c>
      <c r="Y41" s="59" t="str">
        <f>IF(AND('Mapa final'!$Y$31="Baja",'Mapa final'!$AA$31="Moderado"),CONCATENATE("R6C",'Mapa final'!$O$31),"")</f>
        <v/>
      </c>
      <c r="Z41" s="59" t="str">
        <f>IF(AND('Mapa final'!$Y$32="Baja",'Mapa final'!$AA$32="Moderado"),CONCATENATE("R6C",'Mapa final'!$O$32),"")</f>
        <v/>
      </c>
      <c r="AA41" s="60" t="str">
        <f>IF(AND('Mapa final'!$Y$33="Baja",'Mapa final'!$AA$33="Moderado"),CONCATENATE("R6C",'Mapa final'!$O$33),"")</f>
        <v/>
      </c>
      <c r="AB41" s="43" t="str">
        <f ca="1">IF(AND('Mapa final'!$Y$28="Baja",'Mapa final'!$AA$28="Mayor"),CONCATENATE("R6C",'Mapa final'!$O$28),"")</f>
        <v/>
      </c>
      <c r="AC41" s="44" t="str">
        <f ca="1">IF(AND('Mapa final'!$Y$29="Baja",'Mapa final'!$AA$29="Mayor"),CONCATENATE("R6C",'Mapa final'!$O$29),"")</f>
        <v/>
      </c>
      <c r="AD41" s="44" t="str">
        <f ca="1">IF(AND('Mapa final'!$Y$30="Baja",'Mapa final'!$AA$30="Mayor"),CONCATENATE("R6C",'Mapa final'!$O$30),"")</f>
        <v/>
      </c>
      <c r="AE41" s="44" t="str">
        <f>IF(AND('Mapa final'!$Y$31="Baja",'Mapa final'!$AA$31="Mayor"),CONCATENATE("R6C",'Mapa final'!$O$31),"")</f>
        <v/>
      </c>
      <c r="AF41" s="44" t="str">
        <f>IF(AND('Mapa final'!$Y$32="Baja",'Mapa final'!$AA$32="Mayor"),CONCATENATE("R6C",'Mapa final'!$O$32),"")</f>
        <v/>
      </c>
      <c r="AG41" s="45" t="str">
        <f>IF(AND('Mapa final'!$Y$33="Baja",'Mapa final'!$AA$33="Mayor"),CONCATENATE("R6C",'Mapa final'!$O$33),"")</f>
        <v/>
      </c>
      <c r="AH41" s="46" t="str">
        <f ca="1">IF(AND('Mapa final'!$Y$28="Baja",'Mapa final'!$AA$28="Catastrófico"),CONCATENATE("R6C",'Mapa final'!$O$28),"")</f>
        <v/>
      </c>
      <c r="AI41" s="47" t="str">
        <f ca="1">IF(AND('Mapa final'!$Y$29="Baja",'Mapa final'!$AA$29="Catastrófico"),CONCATENATE("R6C",'Mapa final'!$O$29),"")</f>
        <v/>
      </c>
      <c r="AJ41" s="47" t="str">
        <f ca="1">IF(AND('Mapa final'!$Y$30="Baja",'Mapa final'!$AA$30="Catastrófico"),CONCATENATE("R6C",'Mapa final'!$O$30),"")</f>
        <v/>
      </c>
      <c r="AK41" s="47" t="str">
        <f>IF(AND('Mapa final'!$Y$31="Baja",'Mapa final'!$AA$31="Catastrófico"),CONCATENATE("R6C",'Mapa final'!$O$31),"")</f>
        <v/>
      </c>
      <c r="AL41" s="47" t="str">
        <f>IF(AND('Mapa final'!$Y$32="Baja",'Mapa final'!$AA$32="Catastrófico"),CONCATENATE("R6C",'Mapa final'!$O$32),"")</f>
        <v/>
      </c>
      <c r="AM41" s="48" t="str">
        <f>IF(AND('Mapa final'!$Y$33="Baja",'Mapa final'!$AA$33="Catastrófico"),CONCATENATE("R6C",'Mapa final'!$O$33),"")</f>
        <v/>
      </c>
      <c r="AN41" s="74"/>
      <c r="AO41" s="356"/>
      <c r="AP41" s="357"/>
      <c r="AQ41" s="357"/>
      <c r="AR41" s="357"/>
      <c r="AS41" s="357"/>
      <c r="AT41" s="358"/>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row>
    <row r="42" spans="1:80" ht="15" customHeight="1" x14ac:dyDescent="0.25">
      <c r="A42" s="74"/>
      <c r="B42" s="237"/>
      <c r="C42" s="237"/>
      <c r="D42" s="238"/>
      <c r="E42" s="336"/>
      <c r="F42" s="335"/>
      <c r="G42" s="335"/>
      <c r="H42" s="335"/>
      <c r="I42" s="335"/>
      <c r="J42" s="67" t="str">
        <f ca="1">IF(AND('Mapa final'!$Y$34="Baja",'Mapa final'!$AA$34="Leve"),CONCATENATE("R7C",'Mapa final'!$O$34),"")</f>
        <v/>
      </c>
      <c r="K42" s="68" t="str">
        <f ca="1">IF(AND('Mapa final'!$Y$35="Baja",'Mapa final'!$AA$35="Leve"),CONCATENATE("R7C",'Mapa final'!$O$35),"")</f>
        <v/>
      </c>
      <c r="L42" s="68" t="str">
        <f ca="1">IF(AND('Mapa final'!$Y$36="Baja",'Mapa final'!$AA$36="Leve"),CONCATENATE("R7C",'Mapa final'!$O$36),"")</f>
        <v/>
      </c>
      <c r="M42" s="68" t="str">
        <f>IF(AND('Mapa final'!$Y$37="Baja",'Mapa final'!$AA$37="Leve"),CONCATENATE("R7C",'Mapa final'!$O$37),"")</f>
        <v/>
      </c>
      <c r="N42" s="68" t="str">
        <f>IF(AND('Mapa final'!$Y$38="Baja",'Mapa final'!$AA$38="Leve"),CONCATENATE("R7C",'Mapa final'!$O$38),"")</f>
        <v/>
      </c>
      <c r="O42" s="69" t="str">
        <f>IF(AND('Mapa final'!$Y$39="Baja",'Mapa final'!$AA$39="Leve"),CONCATENATE("R7C",'Mapa final'!$O$39),"")</f>
        <v/>
      </c>
      <c r="P42" s="58" t="str">
        <f ca="1">IF(AND('Mapa final'!$Y$34="Baja",'Mapa final'!$AA$34="Menor"),CONCATENATE("R7C",'Mapa final'!$O$34),"")</f>
        <v/>
      </c>
      <c r="Q42" s="59" t="str">
        <f ca="1">IF(AND('Mapa final'!$Y$35="Baja",'Mapa final'!$AA$35="Menor"),CONCATENATE("R7C",'Mapa final'!$O$35),"")</f>
        <v/>
      </c>
      <c r="R42" s="59" t="str">
        <f ca="1">IF(AND('Mapa final'!$Y$36="Baja",'Mapa final'!$AA$36="Menor"),CONCATENATE("R7C",'Mapa final'!$O$36),"")</f>
        <v/>
      </c>
      <c r="S42" s="59" t="str">
        <f>IF(AND('Mapa final'!$Y$37="Baja",'Mapa final'!$AA$37="Menor"),CONCATENATE("R7C",'Mapa final'!$O$37),"")</f>
        <v/>
      </c>
      <c r="T42" s="59" t="str">
        <f>IF(AND('Mapa final'!$Y$38="Baja",'Mapa final'!$AA$38="Menor"),CONCATENATE("R7C",'Mapa final'!$O$38),"")</f>
        <v/>
      </c>
      <c r="U42" s="60" t="str">
        <f>IF(AND('Mapa final'!$Y$39="Baja",'Mapa final'!$AA$39="Menor"),CONCATENATE("R7C",'Mapa final'!$O$39),"")</f>
        <v/>
      </c>
      <c r="V42" s="58" t="str">
        <f ca="1">IF(AND('Mapa final'!$Y$34="Baja",'Mapa final'!$AA$34="Moderado"),CONCATENATE("R7C",'Mapa final'!$O$34),"")</f>
        <v/>
      </c>
      <c r="W42" s="59" t="str">
        <f ca="1">IF(AND('Mapa final'!$Y$35="Baja",'Mapa final'!$AA$35="Moderado"),CONCATENATE("R7C",'Mapa final'!$O$35),"")</f>
        <v>R7C2</v>
      </c>
      <c r="X42" s="59" t="str">
        <f ca="1">IF(AND('Mapa final'!$Y$36="Baja",'Mapa final'!$AA$36="Moderado"),CONCATENATE("R7C",'Mapa final'!$O$36),"")</f>
        <v/>
      </c>
      <c r="Y42" s="59" t="str">
        <f>IF(AND('Mapa final'!$Y$37="Baja",'Mapa final'!$AA$37="Moderado"),CONCATENATE("R7C",'Mapa final'!$O$37),"")</f>
        <v/>
      </c>
      <c r="Z42" s="59" t="str">
        <f>IF(AND('Mapa final'!$Y$38="Baja",'Mapa final'!$AA$38="Moderado"),CONCATENATE("R7C",'Mapa final'!$O$38),"")</f>
        <v/>
      </c>
      <c r="AA42" s="60" t="str">
        <f>IF(AND('Mapa final'!$Y$39="Baja",'Mapa final'!$AA$39="Moderado"),CONCATENATE("R7C",'Mapa final'!$O$39),"")</f>
        <v/>
      </c>
      <c r="AB42" s="43" t="str">
        <f ca="1">IF(AND('Mapa final'!$Y$34="Baja",'Mapa final'!$AA$34="Mayor"),CONCATENATE("R7C",'Mapa final'!$O$34),"")</f>
        <v/>
      </c>
      <c r="AC42" s="44" t="str">
        <f ca="1">IF(AND('Mapa final'!$Y$35="Baja",'Mapa final'!$AA$35="Mayor"),CONCATENATE("R7C",'Mapa final'!$O$35),"")</f>
        <v/>
      </c>
      <c r="AD42" s="44" t="str">
        <f ca="1">IF(AND('Mapa final'!$Y$36="Baja",'Mapa final'!$AA$36="Mayor"),CONCATENATE("R7C",'Mapa final'!$O$36),"")</f>
        <v/>
      </c>
      <c r="AE42" s="44" t="str">
        <f>IF(AND('Mapa final'!$Y$37="Baja",'Mapa final'!$AA$37="Mayor"),CONCATENATE("R7C",'Mapa final'!$O$37),"")</f>
        <v/>
      </c>
      <c r="AF42" s="44" t="str">
        <f>IF(AND('Mapa final'!$Y$38="Baja",'Mapa final'!$AA$38="Mayor"),CONCATENATE("R7C",'Mapa final'!$O$38),"")</f>
        <v/>
      </c>
      <c r="AG42" s="45" t="str">
        <f>IF(AND('Mapa final'!$Y$39="Baja",'Mapa final'!$AA$39="Mayor"),CONCATENATE("R7C",'Mapa final'!$O$39),"")</f>
        <v/>
      </c>
      <c r="AH42" s="46" t="str">
        <f ca="1">IF(AND('Mapa final'!$Y$34="Baja",'Mapa final'!$AA$34="Catastrófico"),CONCATENATE("R7C",'Mapa final'!$O$34),"")</f>
        <v/>
      </c>
      <c r="AI42" s="47" t="str">
        <f ca="1">IF(AND('Mapa final'!$Y$35="Baja",'Mapa final'!$AA$35="Catastrófico"),CONCATENATE("R7C",'Mapa final'!$O$35),"")</f>
        <v/>
      </c>
      <c r="AJ42" s="47" t="str">
        <f ca="1">IF(AND('Mapa final'!$Y$36="Baja",'Mapa final'!$AA$36="Catastrófico"),CONCATENATE("R7C",'Mapa final'!$O$36),"")</f>
        <v/>
      </c>
      <c r="AK42" s="47" t="str">
        <f>IF(AND('Mapa final'!$Y$37="Baja",'Mapa final'!$AA$37="Catastrófico"),CONCATENATE("R7C",'Mapa final'!$O$37),"")</f>
        <v/>
      </c>
      <c r="AL42" s="47" t="str">
        <f>IF(AND('Mapa final'!$Y$38="Baja",'Mapa final'!$AA$38="Catastrófico"),CONCATENATE("R7C",'Mapa final'!$O$38),"")</f>
        <v/>
      </c>
      <c r="AM42" s="48" t="str">
        <f>IF(AND('Mapa final'!$Y$39="Baja",'Mapa final'!$AA$39="Catastrófico"),CONCATENATE("R7C",'Mapa final'!$O$39),"")</f>
        <v/>
      </c>
      <c r="AN42" s="74"/>
      <c r="AO42" s="356"/>
      <c r="AP42" s="357"/>
      <c r="AQ42" s="357"/>
      <c r="AR42" s="357"/>
      <c r="AS42" s="357"/>
      <c r="AT42" s="358"/>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row>
    <row r="43" spans="1:80" ht="15" customHeight="1" x14ac:dyDescent="0.25">
      <c r="A43" s="74"/>
      <c r="B43" s="237"/>
      <c r="C43" s="237"/>
      <c r="D43" s="238"/>
      <c r="E43" s="336"/>
      <c r="F43" s="335"/>
      <c r="G43" s="335"/>
      <c r="H43" s="335"/>
      <c r="I43" s="335"/>
      <c r="J43" s="67" t="str">
        <f ca="1">IF(AND('Mapa final'!$Y$40="Baja",'Mapa final'!$AA$40="Leve"),CONCATENATE("R8C",'Mapa final'!$O$40),"")</f>
        <v/>
      </c>
      <c r="K43" s="68" t="str">
        <f>IF(AND('Mapa final'!$Y$41="Baja",'Mapa final'!$AA$41="Leve"),CONCATENATE("R8C",'Mapa final'!$O$41),"")</f>
        <v>R8C2</v>
      </c>
      <c r="L43" s="68" t="str">
        <f>IF(AND('Mapa final'!$Y$42="Baja",'Mapa final'!$AA$42="Leve"),CONCATENATE("R8C",'Mapa final'!$O$42),"")</f>
        <v/>
      </c>
      <c r="M43" s="68" t="str">
        <f>IF(AND('Mapa final'!$Y$43="Baja",'Mapa final'!$AA$43="Leve"),CONCATENATE("R8C",'Mapa final'!$O$43),"")</f>
        <v/>
      </c>
      <c r="N43" s="68" t="str">
        <f>IF(AND('Mapa final'!$Y$44="Baja",'Mapa final'!$AA$44="Leve"),CONCATENATE("R8C",'Mapa final'!$O$44),"")</f>
        <v/>
      </c>
      <c r="O43" s="69" t="str">
        <f>IF(AND('Mapa final'!$Y$45="Baja",'Mapa final'!$AA$45="Leve"),CONCATENATE("R8C",'Mapa final'!$O$45),"")</f>
        <v/>
      </c>
      <c r="P43" s="58" t="str">
        <f ca="1">IF(AND('Mapa final'!$Y$40="Baja",'Mapa final'!$AA$40="Menor"),CONCATENATE("R8C",'Mapa final'!$O$40),"")</f>
        <v/>
      </c>
      <c r="Q43" s="59" t="str">
        <f>IF(AND('Mapa final'!$Y$41="Baja",'Mapa final'!$AA$41="Menor"),CONCATENATE("R8C",'Mapa final'!$O$41),"")</f>
        <v/>
      </c>
      <c r="R43" s="59" t="str">
        <f>IF(AND('Mapa final'!$Y$42="Baja",'Mapa final'!$AA$42="Menor"),CONCATENATE("R8C",'Mapa final'!$O$42),"")</f>
        <v/>
      </c>
      <c r="S43" s="59" t="str">
        <f>IF(AND('Mapa final'!$Y$43="Baja",'Mapa final'!$AA$43="Menor"),CONCATENATE("R8C",'Mapa final'!$O$43),"")</f>
        <v/>
      </c>
      <c r="T43" s="59" t="str">
        <f>IF(AND('Mapa final'!$Y$44="Baja",'Mapa final'!$AA$44="Menor"),CONCATENATE("R8C",'Mapa final'!$O$44),"")</f>
        <v/>
      </c>
      <c r="U43" s="60" t="str">
        <f>IF(AND('Mapa final'!$Y$45="Baja",'Mapa final'!$AA$45="Menor"),CONCATENATE("R8C",'Mapa final'!$O$45),"")</f>
        <v/>
      </c>
      <c r="V43" s="58" t="str">
        <f ca="1">IF(AND('Mapa final'!$Y$40="Baja",'Mapa final'!$AA$40="Moderado"),CONCATENATE("R8C",'Mapa final'!$O$40),"")</f>
        <v/>
      </c>
      <c r="W43" s="59" t="str">
        <f>IF(AND('Mapa final'!$Y$41="Baja",'Mapa final'!$AA$41="Moderado"),CONCATENATE("R8C",'Mapa final'!$O$41),"")</f>
        <v/>
      </c>
      <c r="X43" s="59" t="str">
        <f>IF(AND('Mapa final'!$Y$42="Baja",'Mapa final'!$AA$42="Moderado"),CONCATENATE("R8C",'Mapa final'!$O$42),"")</f>
        <v/>
      </c>
      <c r="Y43" s="59" t="str">
        <f>IF(AND('Mapa final'!$Y$43="Baja",'Mapa final'!$AA$43="Moderado"),CONCATENATE("R8C",'Mapa final'!$O$43),"")</f>
        <v/>
      </c>
      <c r="Z43" s="59" t="str">
        <f>IF(AND('Mapa final'!$Y$44="Baja",'Mapa final'!$AA$44="Moderado"),CONCATENATE("R8C",'Mapa final'!$O$44),"")</f>
        <v/>
      </c>
      <c r="AA43" s="60" t="str">
        <f>IF(AND('Mapa final'!$Y$45="Baja",'Mapa final'!$AA$45="Moderado"),CONCATENATE("R8C",'Mapa final'!$O$45),"")</f>
        <v/>
      </c>
      <c r="AB43" s="43" t="str">
        <f ca="1">IF(AND('Mapa final'!$Y$40="Baja",'Mapa final'!$AA$40="Mayor"),CONCATENATE("R8C",'Mapa final'!$O$40),"")</f>
        <v>R8C1</v>
      </c>
      <c r="AC43" s="44" t="str">
        <f>IF(AND('Mapa final'!$Y$41="Baja",'Mapa final'!$AA$41="Mayor"),CONCATENATE("R8C",'Mapa final'!$O$41),"")</f>
        <v/>
      </c>
      <c r="AD43" s="44" t="str">
        <f>IF(AND('Mapa final'!$Y$42="Baja",'Mapa final'!$AA$42="Mayor"),CONCATENATE("R8C",'Mapa final'!$O$42),"")</f>
        <v/>
      </c>
      <c r="AE43" s="44" t="str">
        <f>IF(AND('Mapa final'!$Y$43="Baja",'Mapa final'!$AA$43="Mayor"),CONCATENATE("R8C",'Mapa final'!$O$43),"")</f>
        <v/>
      </c>
      <c r="AF43" s="44" t="str">
        <f>IF(AND('Mapa final'!$Y$44="Baja",'Mapa final'!$AA$44="Mayor"),CONCATENATE("R8C",'Mapa final'!$O$44),"")</f>
        <v/>
      </c>
      <c r="AG43" s="45" t="str">
        <f>IF(AND('Mapa final'!$Y$45="Baja",'Mapa final'!$AA$45="Mayor"),CONCATENATE("R8C",'Mapa final'!$O$45),"")</f>
        <v/>
      </c>
      <c r="AH43" s="46" t="str">
        <f ca="1">IF(AND('Mapa final'!$Y$40="Baja",'Mapa final'!$AA$40="Catastrófico"),CONCATENATE("R8C",'Mapa final'!$O$40),"")</f>
        <v/>
      </c>
      <c r="AI43" s="47" t="str">
        <f>IF(AND('Mapa final'!$Y$41="Baja",'Mapa final'!$AA$41="Catastrófico"),CONCATENATE("R8C",'Mapa final'!$O$41),"")</f>
        <v/>
      </c>
      <c r="AJ43" s="47" t="str">
        <f>IF(AND('Mapa final'!$Y$42="Baja",'Mapa final'!$AA$42="Catastrófico"),CONCATENATE("R8C",'Mapa final'!$O$42),"")</f>
        <v/>
      </c>
      <c r="AK43" s="47" t="str">
        <f>IF(AND('Mapa final'!$Y$43="Baja",'Mapa final'!$AA$43="Catastrófico"),CONCATENATE("R8C",'Mapa final'!$O$43),"")</f>
        <v/>
      </c>
      <c r="AL43" s="47" t="str">
        <f>IF(AND('Mapa final'!$Y$44="Baja",'Mapa final'!$AA$44="Catastrófico"),CONCATENATE("R8C",'Mapa final'!$O$44),"")</f>
        <v/>
      </c>
      <c r="AM43" s="48" t="str">
        <f>IF(AND('Mapa final'!$Y$45="Baja",'Mapa final'!$AA$45="Catastrófico"),CONCATENATE("R8C",'Mapa final'!$O$45),"")</f>
        <v/>
      </c>
      <c r="AN43" s="74"/>
      <c r="AO43" s="356"/>
      <c r="AP43" s="357"/>
      <c r="AQ43" s="357"/>
      <c r="AR43" s="357"/>
      <c r="AS43" s="357"/>
      <c r="AT43" s="358"/>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row>
    <row r="44" spans="1:80" ht="15" customHeight="1" x14ac:dyDescent="0.25">
      <c r="A44" s="74"/>
      <c r="B44" s="237"/>
      <c r="C44" s="237"/>
      <c r="D44" s="238"/>
      <c r="E44" s="336"/>
      <c r="F44" s="335"/>
      <c r="G44" s="335"/>
      <c r="H44" s="335"/>
      <c r="I44" s="335"/>
      <c r="J44" s="67" t="str">
        <f>IF(AND('Mapa final'!$Y$46="Baja",'Mapa final'!$AA$46="Leve"),CONCATENATE("R9C",'Mapa final'!$O$46),"")</f>
        <v/>
      </c>
      <c r="K44" s="68" t="str">
        <f>IF(AND('Mapa final'!$Y$47="Baja",'Mapa final'!$AA$47="Leve"),CONCATENATE("R9C",'Mapa final'!$O$47),"")</f>
        <v/>
      </c>
      <c r="L44" s="68" t="str">
        <f>IF(AND('Mapa final'!$Y$48="Baja",'Mapa final'!$AA$48="Leve"),CONCATENATE("R9C",'Mapa final'!$O$48),"")</f>
        <v/>
      </c>
      <c r="M44" s="68" t="str">
        <f>IF(AND('Mapa final'!$Y$49="Baja",'Mapa final'!$AA$49="Leve"),CONCATENATE("R9C",'Mapa final'!$O$49),"")</f>
        <v/>
      </c>
      <c r="N44" s="68" t="str">
        <f>IF(AND('Mapa final'!$Y$50="Baja",'Mapa final'!$AA$50="Leve"),CONCATENATE("R9C",'Mapa final'!$O$50),"")</f>
        <v/>
      </c>
      <c r="O44" s="69" t="str">
        <f>IF(AND('Mapa final'!$Y$51="Baja",'Mapa final'!$AA$51="Leve"),CONCATENATE("R9C",'Mapa final'!$O$51),"")</f>
        <v/>
      </c>
      <c r="P44" s="58" t="str">
        <f>IF(AND('Mapa final'!$Y$46="Baja",'Mapa final'!$AA$46="Menor"),CONCATENATE("R9C",'Mapa final'!$O$46),"")</f>
        <v/>
      </c>
      <c r="Q44" s="59" t="str">
        <f>IF(AND('Mapa final'!$Y$47="Baja",'Mapa final'!$AA$47="Menor"),CONCATENATE("R9C",'Mapa final'!$O$47),"")</f>
        <v/>
      </c>
      <c r="R44" s="59" t="str">
        <f>IF(AND('Mapa final'!$Y$48="Baja",'Mapa final'!$AA$48="Menor"),CONCATENATE("R9C",'Mapa final'!$O$48),"")</f>
        <v/>
      </c>
      <c r="S44" s="59" t="str">
        <f>IF(AND('Mapa final'!$Y$49="Baja",'Mapa final'!$AA$49="Menor"),CONCATENATE("R9C",'Mapa final'!$O$49),"")</f>
        <v/>
      </c>
      <c r="T44" s="59" t="str">
        <f>IF(AND('Mapa final'!$Y$50="Baja",'Mapa final'!$AA$50="Menor"),CONCATENATE("R9C",'Mapa final'!$O$50),"")</f>
        <v/>
      </c>
      <c r="U44" s="60" t="str">
        <f>IF(AND('Mapa final'!$Y$51="Baja",'Mapa final'!$AA$51="Menor"),CONCATENATE("R9C",'Mapa final'!$O$51),"")</f>
        <v/>
      </c>
      <c r="V44" s="58" t="str">
        <f>IF(AND('Mapa final'!$Y$46="Baja",'Mapa final'!$AA$46="Moderado"),CONCATENATE("R9C",'Mapa final'!$O$46),"")</f>
        <v/>
      </c>
      <c r="W44" s="59" t="str">
        <f>IF(AND('Mapa final'!$Y$47="Baja",'Mapa final'!$AA$47="Moderado"),CONCATENATE("R9C",'Mapa final'!$O$47),"")</f>
        <v/>
      </c>
      <c r="X44" s="59" t="str">
        <f>IF(AND('Mapa final'!$Y$48="Baja",'Mapa final'!$AA$48="Moderado"),CONCATENATE("R9C",'Mapa final'!$O$48),"")</f>
        <v/>
      </c>
      <c r="Y44" s="59" t="str">
        <f>IF(AND('Mapa final'!$Y$49="Baja",'Mapa final'!$AA$49="Moderado"),CONCATENATE("R9C",'Mapa final'!$O$49),"")</f>
        <v/>
      </c>
      <c r="Z44" s="59" t="str">
        <f>IF(AND('Mapa final'!$Y$50="Baja",'Mapa final'!$AA$50="Moderado"),CONCATENATE("R9C",'Mapa final'!$O$50),"")</f>
        <v/>
      </c>
      <c r="AA44" s="60" t="str">
        <f>IF(AND('Mapa final'!$Y$51="Baja",'Mapa final'!$AA$51="Moderado"),CONCATENATE("R9C",'Mapa final'!$O$51),"")</f>
        <v/>
      </c>
      <c r="AB44" s="43" t="str">
        <f>IF(AND('Mapa final'!$Y$46="Baja",'Mapa final'!$AA$46="Mayor"),CONCATENATE("R9C",'Mapa final'!$O$46),"")</f>
        <v/>
      </c>
      <c r="AC44" s="44" t="str">
        <f>IF(AND('Mapa final'!$Y$47="Baja",'Mapa final'!$AA$47="Mayor"),CONCATENATE("R9C",'Mapa final'!$O$47),"")</f>
        <v/>
      </c>
      <c r="AD44" s="44" t="str">
        <f>IF(AND('Mapa final'!$Y$48="Baja",'Mapa final'!$AA$48="Mayor"),CONCATENATE("R9C",'Mapa final'!$O$48),"")</f>
        <v/>
      </c>
      <c r="AE44" s="44" t="str">
        <f>IF(AND('Mapa final'!$Y$49="Baja",'Mapa final'!$AA$49="Mayor"),CONCATENATE("R9C",'Mapa final'!$O$49),"")</f>
        <v/>
      </c>
      <c r="AF44" s="44" t="str">
        <f>IF(AND('Mapa final'!$Y$50="Baja",'Mapa final'!$AA$50="Mayor"),CONCATENATE("R9C",'Mapa final'!$O$50),"")</f>
        <v/>
      </c>
      <c r="AG44" s="45" t="str">
        <f>IF(AND('Mapa final'!$Y$51="Baja",'Mapa final'!$AA$51="Mayor"),CONCATENATE("R9C",'Mapa final'!$O$51),"")</f>
        <v/>
      </c>
      <c r="AH44" s="46" t="str">
        <f>IF(AND('Mapa final'!$Y$46="Baja",'Mapa final'!$AA$46="Catastrófico"),CONCATENATE("R9C",'Mapa final'!$O$46),"")</f>
        <v/>
      </c>
      <c r="AI44" s="47" t="str">
        <f>IF(AND('Mapa final'!$Y$47="Baja",'Mapa final'!$AA$47="Catastrófico"),CONCATENATE("R9C",'Mapa final'!$O$47),"")</f>
        <v/>
      </c>
      <c r="AJ44" s="47" t="str">
        <f>IF(AND('Mapa final'!$Y$48="Baja",'Mapa final'!$AA$48="Catastrófico"),CONCATENATE("R9C",'Mapa final'!$O$48),"")</f>
        <v/>
      </c>
      <c r="AK44" s="47" t="str">
        <f>IF(AND('Mapa final'!$Y$49="Baja",'Mapa final'!$AA$49="Catastrófico"),CONCATENATE("R9C",'Mapa final'!$O$49),"")</f>
        <v/>
      </c>
      <c r="AL44" s="47" t="str">
        <f>IF(AND('Mapa final'!$Y$50="Baja",'Mapa final'!$AA$50="Catastrófico"),CONCATENATE("R9C",'Mapa final'!$O$50),"")</f>
        <v/>
      </c>
      <c r="AM44" s="48" t="str">
        <f>IF(AND('Mapa final'!$Y$51="Baja",'Mapa final'!$AA$51="Catastrófico"),CONCATENATE("R9C",'Mapa final'!$O$51),"")</f>
        <v/>
      </c>
      <c r="AN44" s="74"/>
      <c r="AO44" s="356"/>
      <c r="AP44" s="357"/>
      <c r="AQ44" s="357"/>
      <c r="AR44" s="357"/>
      <c r="AS44" s="357"/>
      <c r="AT44" s="358"/>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row>
    <row r="45" spans="1:80" ht="15.75" customHeight="1" thickBot="1" x14ac:dyDescent="0.3">
      <c r="A45" s="74"/>
      <c r="B45" s="237"/>
      <c r="C45" s="237"/>
      <c r="D45" s="238"/>
      <c r="E45" s="337"/>
      <c r="F45" s="338"/>
      <c r="G45" s="338"/>
      <c r="H45" s="338"/>
      <c r="I45" s="338"/>
      <c r="J45" s="70" t="str">
        <f>IF(AND('Mapa final'!$Y$52="Baja",'Mapa final'!$AA$52="Leve"),CONCATENATE("R10C",'Mapa final'!$O$52),"")</f>
        <v/>
      </c>
      <c r="K45" s="71" t="str">
        <f>IF(AND('Mapa final'!$Y$53="Baja",'Mapa final'!$AA$53="Leve"),CONCATENATE("R10C",'Mapa final'!$O$53),"")</f>
        <v/>
      </c>
      <c r="L45" s="71" t="str">
        <f>IF(AND('Mapa final'!$Y$54="Baja",'Mapa final'!$AA$54="Leve"),CONCATENATE("R10C",'Mapa final'!$O$54),"")</f>
        <v/>
      </c>
      <c r="M45" s="71" t="str">
        <f>IF(AND('Mapa final'!$Y$55="Baja",'Mapa final'!$AA$55="Leve"),CONCATENATE("R10C",'Mapa final'!$O$55),"")</f>
        <v/>
      </c>
      <c r="N45" s="71" t="str">
        <f>IF(AND('Mapa final'!$Y$56="Baja",'Mapa final'!$AA$56="Leve"),CONCATENATE("R10C",'Mapa final'!$O$56),"")</f>
        <v/>
      </c>
      <c r="O45" s="72" t="str">
        <f>IF(AND('Mapa final'!$Y$57="Baja",'Mapa final'!$AA$57="Leve"),CONCATENATE("R10C",'Mapa final'!$O$57),"")</f>
        <v/>
      </c>
      <c r="P45" s="58" t="str">
        <f>IF(AND('Mapa final'!$Y$52="Baja",'Mapa final'!$AA$52="Menor"),CONCATENATE("R10C",'Mapa final'!$O$52),"")</f>
        <v/>
      </c>
      <c r="Q45" s="59" t="str">
        <f>IF(AND('Mapa final'!$Y$53="Baja",'Mapa final'!$AA$53="Menor"),CONCATENATE("R10C",'Mapa final'!$O$53),"")</f>
        <v/>
      </c>
      <c r="R45" s="59" t="str">
        <f>IF(AND('Mapa final'!$Y$54="Baja",'Mapa final'!$AA$54="Menor"),CONCATENATE("R10C",'Mapa final'!$O$54),"")</f>
        <v/>
      </c>
      <c r="S45" s="59" t="str">
        <f>IF(AND('Mapa final'!$Y$55="Baja",'Mapa final'!$AA$55="Menor"),CONCATENATE("R10C",'Mapa final'!$O$55),"")</f>
        <v/>
      </c>
      <c r="T45" s="59" t="str">
        <f>IF(AND('Mapa final'!$Y$56="Baja",'Mapa final'!$AA$56="Menor"),CONCATENATE("R10C",'Mapa final'!$O$56),"")</f>
        <v/>
      </c>
      <c r="U45" s="60" t="str">
        <f>IF(AND('Mapa final'!$Y$57="Baja",'Mapa final'!$AA$57="Menor"),CONCATENATE("R10C",'Mapa final'!$O$57),"")</f>
        <v/>
      </c>
      <c r="V45" s="61" t="str">
        <f>IF(AND('Mapa final'!$Y$52="Baja",'Mapa final'!$AA$52="Moderado"),CONCATENATE("R10C",'Mapa final'!$O$52),"")</f>
        <v/>
      </c>
      <c r="W45" s="62" t="str">
        <f>IF(AND('Mapa final'!$Y$53="Baja",'Mapa final'!$AA$53="Moderado"),CONCATENATE("R10C",'Mapa final'!$O$53),"")</f>
        <v/>
      </c>
      <c r="X45" s="62" t="str">
        <f>IF(AND('Mapa final'!$Y$54="Baja",'Mapa final'!$AA$54="Moderado"),CONCATENATE("R10C",'Mapa final'!$O$54),"")</f>
        <v/>
      </c>
      <c r="Y45" s="62" t="str">
        <f>IF(AND('Mapa final'!$Y$55="Baja",'Mapa final'!$AA$55="Moderado"),CONCATENATE("R10C",'Mapa final'!$O$55),"")</f>
        <v/>
      </c>
      <c r="Z45" s="62" t="str">
        <f>IF(AND('Mapa final'!$Y$56="Baja",'Mapa final'!$AA$56="Moderado"),CONCATENATE("R10C",'Mapa final'!$O$56),"")</f>
        <v/>
      </c>
      <c r="AA45" s="63" t="str">
        <f>IF(AND('Mapa final'!$Y$57="Baja",'Mapa final'!$AA$57="Moderado"),CONCATENATE("R10C",'Mapa final'!$O$57),"")</f>
        <v/>
      </c>
      <c r="AB45" s="49" t="str">
        <f>IF(AND('Mapa final'!$Y$52="Baja",'Mapa final'!$AA$52="Mayor"),CONCATENATE("R10C",'Mapa final'!$O$52),"")</f>
        <v/>
      </c>
      <c r="AC45" s="50" t="str">
        <f>IF(AND('Mapa final'!$Y$53="Baja",'Mapa final'!$AA$53="Mayor"),CONCATENATE("R10C",'Mapa final'!$O$53),"")</f>
        <v/>
      </c>
      <c r="AD45" s="50" t="str">
        <f>IF(AND('Mapa final'!$Y$54="Baja",'Mapa final'!$AA$54="Mayor"),CONCATENATE("R10C",'Mapa final'!$O$54),"")</f>
        <v/>
      </c>
      <c r="AE45" s="50" t="str">
        <f>IF(AND('Mapa final'!$Y$55="Baja",'Mapa final'!$AA$55="Mayor"),CONCATENATE("R10C",'Mapa final'!$O$55),"")</f>
        <v/>
      </c>
      <c r="AF45" s="50" t="str">
        <f>IF(AND('Mapa final'!$Y$56="Baja",'Mapa final'!$AA$56="Mayor"),CONCATENATE("R10C",'Mapa final'!$O$56),"")</f>
        <v/>
      </c>
      <c r="AG45" s="51" t="str">
        <f>IF(AND('Mapa final'!$Y$57="Baja",'Mapa final'!$AA$57="Mayor"),CONCATENATE("R10C",'Mapa final'!$O$57),"")</f>
        <v/>
      </c>
      <c r="AH45" s="52" t="str">
        <f>IF(AND('Mapa final'!$Y$52="Baja",'Mapa final'!$AA$52="Catastrófico"),CONCATENATE("R10C",'Mapa final'!$O$52),"")</f>
        <v/>
      </c>
      <c r="AI45" s="53" t="str">
        <f>IF(AND('Mapa final'!$Y$53="Baja",'Mapa final'!$AA$53="Catastrófico"),CONCATENATE("R10C",'Mapa final'!$O$53),"")</f>
        <v/>
      </c>
      <c r="AJ45" s="53" t="str">
        <f>IF(AND('Mapa final'!$Y$54="Baja",'Mapa final'!$AA$54="Catastrófico"),CONCATENATE("R10C",'Mapa final'!$O$54),"")</f>
        <v/>
      </c>
      <c r="AK45" s="53" t="str">
        <f>IF(AND('Mapa final'!$Y$55="Baja",'Mapa final'!$AA$55="Catastrófico"),CONCATENATE("R10C",'Mapa final'!$O$55),"")</f>
        <v/>
      </c>
      <c r="AL45" s="53" t="str">
        <f>IF(AND('Mapa final'!$Y$56="Baja",'Mapa final'!$AA$56="Catastrófico"),CONCATENATE("R10C",'Mapa final'!$O$56),"")</f>
        <v/>
      </c>
      <c r="AM45" s="54" t="str">
        <f>IF(AND('Mapa final'!$Y$57="Baja",'Mapa final'!$AA$57="Catastrófico"),CONCATENATE("R10C",'Mapa final'!$O$57),"")</f>
        <v/>
      </c>
      <c r="AN45" s="74"/>
      <c r="AO45" s="359"/>
      <c r="AP45" s="360"/>
      <c r="AQ45" s="360"/>
      <c r="AR45" s="360"/>
      <c r="AS45" s="360"/>
      <c r="AT45" s="361"/>
    </row>
    <row r="46" spans="1:80" ht="46.5" customHeight="1" x14ac:dyDescent="0.35">
      <c r="A46" s="74"/>
      <c r="B46" s="237"/>
      <c r="C46" s="237"/>
      <c r="D46" s="238"/>
      <c r="E46" s="332" t="s">
        <v>111</v>
      </c>
      <c r="F46" s="333"/>
      <c r="G46" s="333"/>
      <c r="H46" s="333"/>
      <c r="I46" s="350"/>
      <c r="J46" s="64" t="e">
        <f>IF(AND('Mapa final'!#REF!="Muy Baja",'Mapa final'!#REF!="Leve"),CONCATENATE("R1C",'Mapa final'!#REF!),"")</f>
        <v>#REF!</v>
      </c>
      <c r="K46" s="65" t="e">
        <f>IF(AND('Mapa final'!#REF!="Muy Baja",'Mapa final'!#REF!="Leve"),CONCATENATE("R1C",'Mapa final'!#REF!),"")</f>
        <v>#REF!</v>
      </c>
      <c r="L46" s="65" t="e">
        <f>IF(AND('Mapa final'!#REF!="Muy Baja",'Mapa final'!#REF!="Leve"),CONCATENATE("R1C",'Mapa final'!#REF!),"")</f>
        <v>#REF!</v>
      </c>
      <c r="M46" s="65" t="e">
        <f>IF(AND('Mapa final'!#REF!="Muy Baja",'Mapa final'!#REF!="Leve"),CONCATENATE("R1C",'Mapa final'!#REF!),"")</f>
        <v>#REF!</v>
      </c>
      <c r="N46" s="65" t="e">
        <f>IF(AND('Mapa final'!#REF!="Muy Baja",'Mapa final'!#REF!="Leve"),CONCATENATE("R1C",'Mapa final'!#REF!),"")</f>
        <v>#REF!</v>
      </c>
      <c r="O46" s="66" t="e">
        <f>IF(AND('Mapa final'!#REF!="Muy Baja",'Mapa final'!#REF!="Leve"),CONCATENATE("R1C",'Mapa final'!#REF!),"")</f>
        <v>#REF!</v>
      </c>
      <c r="P46" s="64" t="e">
        <f>IF(AND('Mapa final'!#REF!="Muy Baja",'Mapa final'!#REF!="Menor"),CONCATENATE("R1C",'Mapa final'!#REF!),"")</f>
        <v>#REF!</v>
      </c>
      <c r="Q46" s="65" t="e">
        <f>IF(AND('Mapa final'!#REF!="Muy Baja",'Mapa final'!#REF!="Menor"),CONCATENATE("R1C",'Mapa final'!#REF!),"")</f>
        <v>#REF!</v>
      </c>
      <c r="R46" s="65" t="e">
        <f>IF(AND('Mapa final'!#REF!="Muy Baja",'Mapa final'!#REF!="Menor"),CONCATENATE("R1C",'Mapa final'!#REF!),"")</f>
        <v>#REF!</v>
      </c>
      <c r="S46" s="65" t="e">
        <f>IF(AND('Mapa final'!#REF!="Muy Baja",'Mapa final'!#REF!="Menor"),CONCATENATE("R1C",'Mapa final'!#REF!),"")</f>
        <v>#REF!</v>
      </c>
      <c r="T46" s="65" t="e">
        <f>IF(AND('Mapa final'!#REF!="Muy Baja",'Mapa final'!#REF!="Menor"),CONCATENATE("R1C",'Mapa final'!#REF!),"")</f>
        <v>#REF!</v>
      </c>
      <c r="U46" s="66" t="e">
        <f>IF(AND('Mapa final'!#REF!="Muy Baja",'Mapa final'!#REF!="Menor"),CONCATENATE("R1C",'Mapa final'!#REF!),"")</f>
        <v>#REF!</v>
      </c>
      <c r="V46" s="55" t="e">
        <f>IF(AND('Mapa final'!#REF!="Muy Baja",'Mapa final'!#REF!="Moderado"),CONCATENATE("R1C",'Mapa final'!#REF!),"")</f>
        <v>#REF!</v>
      </c>
      <c r="W46" s="73" t="e">
        <f>IF(AND('Mapa final'!#REF!="Muy Baja",'Mapa final'!#REF!="Moderado"),CONCATENATE("R1C",'Mapa final'!#REF!),"")</f>
        <v>#REF!</v>
      </c>
      <c r="X46" s="56" t="e">
        <f>IF(AND('Mapa final'!#REF!="Muy Baja",'Mapa final'!#REF!="Moderado"),CONCATENATE("R1C",'Mapa final'!#REF!),"")</f>
        <v>#REF!</v>
      </c>
      <c r="Y46" s="56" t="e">
        <f>IF(AND('Mapa final'!#REF!="Muy Baja",'Mapa final'!#REF!="Moderado"),CONCATENATE("R1C",'Mapa final'!#REF!),"")</f>
        <v>#REF!</v>
      </c>
      <c r="Z46" s="56" t="e">
        <f>IF(AND('Mapa final'!#REF!="Muy Baja",'Mapa final'!#REF!="Moderado"),CONCATENATE("R1C",'Mapa final'!#REF!),"")</f>
        <v>#REF!</v>
      </c>
      <c r="AA46" s="57" t="e">
        <f>IF(AND('Mapa final'!#REF!="Muy Baja",'Mapa final'!#REF!="Moderado"),CONCATENATE("R1C",'Mapa final'!#REF!),"")</f>
        <v>#REF!</v>
      </c>
      <c r="AB46" s="37" t="e">
        <f>IF(AND('Mapa final'!#REF!="Muy Baja",'Mapa final'!#REF!="Mayor"),CONCATENATE("R1C",'Mapa final'!#REF!),"")</f>
        <v>#REF!</v>
      </c>
      <c r="AC46" s="38" t="e">
        <f>IF(AND('Mapa final'!#REF!="Muy Baja",'Mapa final'!#REF!="Mayor"),CONCATENATE("R1C",'Mapa final'!#REF!),"")</f>
        <v>#REF!</v>
      </c>
      <c r="AD46" s="38" t="e">
        <f>IF(AND('Mapa final'!#REF!="Muy Baja",'Mapa final'!#REF!="Mayor"),CONCATENATE("R1C",'Mapa final'!#REF!),"")</f>
        <v>#REF!</v>
      </c>
      <c r="AE46" s="38" t="e">
        <f>IF(AND('Mapa final'!#REF!="Muy Baja",'Mapa final'!#REF!="Mayor"),CONCATENATE("R1C",'Mapa final'!#REF!),"")</f>
        <v>#REF!</v>
      </c>
      <c r="AF46" s="38" t="e">
        <f>IF(AND('Mapa final'!#REF!="Muy Baja",'Mapa final'!#REF!="Mayor"),CONCATENATE("R1C",'Mapa final'!#REF!),"")</f>
        <v>#REF!</v>
      </c>
      <c r="AG46" s="39" t="e">
        <f>IF(AND('Mapa final'!#REF!="Muy Baja",'Mapa final'!#REF!="Mayor"),CONCATENATE("R1C",'Mapa final'!#REF!),"")</f>
        <v>#REF!</v>
      </c>
      <c r="AH46" s="40" t="e">
        <f>IF(AND('Mapa final'!#REF!="Muy Baja",'Mapa final'!#REF!="Catastrófico"),CONCATENATE("R1C",'Mapa final'!#REF!),"")</f>
        <v>#REF!</v>
      </c>
      <c r="AI46" s="41" t="e">
        <f>IF(AND('Mapa final'!#REF!="Muy Baja",'Mapa final'!#REF!="Catastrófico"),CONCATENATE("R1C",'Mapa final'!#REF!),"")</f>
        <v>#REF!</v>
      </c>
      <c r="AJ46" s="41" t="e">
        <f>IF(AND('Mapa final'!#REF!="Muy Baja",'Mapa final'!#REF!="Catastrófico"),CONCATENATE("R1C",'Mapa final'!#REF!),"")</f>
        <v>#REF!</v>
      </c>
      <c r="AK46" s="41" t="e">
        <f>IF(AND('Mapa final'!#REF!="Muy Baja",'Mapa final'!#REF!="Catastrófico"),CONCATENATE("R1C",'Mapa final'!#REF!),"")</f>
        <v>#REF!</v>
      </c>
      <c r="AL46" s="41" t="e">
        <f>IF(AND('Mapa final'!#REF!="Muy Baja",'Mapa final'!#REF!="Catastrófico"),CONCATENATE("R1C",'Mapa final'!#REF!),"")</f>
        <v>#REF!</v>
      </c>
      <c r="AM46" s="42" t="e">
        <f>IF(AND('Mapa final'!#REF!="Muy Baja",'Mapa final'!#REF!="Catastrófico"),CONCATENATE("R1C",'Mapa final'!#REF!),"")</f>
        <v>#REF!</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ht="46.5" customHeight="1" x14ac:dyDescent="0.25">
      <c r="A47" s="74"/>
      <c r="B47" s="237"/>
      <c r="C47" s="237"/>
      <c r="D47" s="238"/>
      <c r="E47" s="334"/>
      <c r="F47" s="335"/>
      <c r="G47" s="335"/>
      <c r="H47" s="335"/>
      <c r="I47" s="351"/>
      <c r="J47" s="67" t="e">
        <f>IF(AND('Mapa final'!#REF!="Muy Baja",'Mapa final'!#REF!="Leve"),CONCATENATE("R2C",'Mapa final'!#REF!),"")</f>
        <v>#REF!</v>
      </c>
      <c r="K47" s="68" t="e">
        <f>IF(AND('Mapa final'!#REF!="Muy Baja",'Mapa final'!#REF!="Leve"),CONCATENATE("R2C",'Mapa final'!#REF!),"")</f>
        <v>#REF!</v>
      </c>
      <c r="L47" s="68" t="e">
        <f>IF(AND('Mapa final'!#REF!="Muy Baja",'Mapa final'!#REF!="Leve"),CONCATENATE("R2C",'Mapa final'!#REF!),"")</f>
        <v>#REF!</v>
      </c>
      <c r="M47" s="68" t="e">
        <f>IF(AND('Mapa final'!#REF!="Muy Baja",'Mapa final'!#REF!="Leve"),CONCATENATE("R2C",'Mapa final'!#REF!),"")</f>
        <v>#REF!</v>
      </c>
      <c r="N47" s="68" t="e">
        <f>IF(AND('Mapa final'!#REF!="Muy Baja",'Mapa final'!#REF!="Leve"),CONCATENATE("R2C",'Mapa final'!#REF!),"")</f>
        <v>#REF!</v>
      </c>
      <c r="O47" s="69" t="e">
        <f>IF(AND('Mapa final'!#REF!="Muy Baja",'Mapa final'!#REF!="Leve"),CONCATENATE("R2C",'Mapa final'!#REF!),"")</f>
        <v>#REF!</v>
      </c>
      <c r="P47" s="67" t="e">
        <f>IF(AND('Mapa final'!#REF!="Muy Baja",'Mapa final'!#REF!="Menor"),CONCATENATE("R2C",'Mapa final'!#REF!),"")</f>
        <v>#REF!</v>
      </c>
      <c r="Q47" s="68" t="e">
        <f>IF(AND('Mapa final'!#REF!="Muy Baja",'Mapa final'!#REF!="Menor"),CONCATENATE("R2C",'Mapa final'!#REF!),"")</f>
        <v>#REF!</v>
      </c>
      <c r="R47" s="68" t="e">
        <f>IF(AND('Mapa final'!#REF!="Muy Baja",'Mapa final'!#REF!="Menor"),CONCATENATE("R2C",'Mapa final'!#REF!),"")</f>
        <v>#REF!</v>
      </c>
      <c r="S47" s="68" t="e">
        <f>IF(AND('Mapa final'!#REF!="Muy Baja",'Mapa final'!#REF!="Menor"),CONCATENATE("R2C",'Mapa final'!#REF!),"")</f>
        <v>#REF!</v>
      </c>
      <c r="T47" s="68" t="e">
        <f>IF(AND('Mapa final'!#REF!="Muy Baja",'Mapa final'!#REF!="Menor"),CONCATENATE("R2C",'Mapa final'!#REF!),"")</f>
        <v>#REF!</v>
      </c>
      <c r="U47" s="69" t="e">
        <f>IF(AND('Mapa final'!#REF!="Muy Baja",'Mapa final'!#REF!="Menor"),CONCATENATE("R2C",'Mapa final'!#REF!),"")</f>
        <v>#REF!</v>
      </c>
      <c r="V47" s="58" t="e">
        <f>IF(AND('Mapa final'!#REF!="Muy Baja",'Mapa final'!#REF!="Moderado"),CONCATENATE("R2C",'Mapa final'!#REF!),"")</f>
        <v>#REF!</v>
      </c>
      <c r="W47" s="59" t="e">
        <f>IF(AND('Mapa final'!#REF!="Muy Baja",'Mapa final'!#REF!="Moderado"),CONCATENATE("R2C",'Mapa final'!#REF!),"")</f>
        <v>#REF!</v>
      </c>
      <c r="X47" s="59" t="e">
        <f>IF(AND('Mapa final'!#REF!="Muy Baja",'Mapa final'!#REF!="Moderado"),CONCATENATE("R2C",'Mapa final'!#REF!),"")</f>
        <v>#REF!</v>
      </c>
      <c r="Y47" s="59" t="e">
        <f>IF(AND('Mapa final'!#REF!="Muy Baja",'Mapa final'!#REF!="Moderado"),CONCATENATE("R2C",'Mapa final'!#REF!),"")</f>
        <v>#REF!</v>
      </c>
      <c r="Z47" s="59" t="e">
        <f>IF(AND('Mapa final'!#REF!="Muy Baja",'Mapa final'!#REF!="Moderado"),CONCATENATE("R2C",'Mapa final'!#REF!),"")</f>
        <v>#REF!</v>
      </c>
      <c r="AA47" s="60" t="e">
        <f>IF(AND('Mapa final'!#REF!="Muy Baja",'Mapa final'!#REF!="Moderado"),CONCATENATE("R2C",'Mapa final'!#REF!),"")</f>
        <v>#REF!</v>
      </c>
      <c r="AB47" s="43" t="e">
        <f>IF(AND('Mapa final'!#REF!="Muy Baja",'Mapa final'!#REF!="Mayor"),CONCATENATE("R2C",'Mapa final'!#REF!),"")</f>
        <v>#REF!</v>
      </c>
      <c r="AC47" s="44" t="e">
        <f>IF(AND('Mapa final'!#REF!="Muy Baja",'Mapa final'!#REF!="Mayor"),CONCATENATE("R2C",'Mapa final'!#REF!),"")</f>
        <v>#REF!</v>
      </c>
      <c r="AD47" s="44" t="e">
        <f>IF(AND('Mapa final'!#REF!="Muy Baja",'Mapa final'!#REF!="Mayor"),CONCATENATE("R2C",'Mapa final'!#REF!),"")</f>
        <v>#REF!</v>
      </c>
      <c r="AE47" s="44" t="e">
        <f>IF(AND('Mapa final'!#REF!="Muy Baja",'Mapa final'!#REF!="Mayor"),CONCATENATE("R2C",'Mapa final'!#REF!),"")</f>
        <v>#REF!</v>
      </c>
      <c r="AF47" s="44" t="e">
        <f>IF(AND('Mapa final'!#REF!="Muy Baja",'Mapa final'!#REF!="Mayor"),CONCATENATE("R2C",'Mapa final'!#REF!),"")</f>
        <v>#REF!</v>
      </c>
      <c r="AG47" s="45" t="e">
        <f>IF(AND('Mapa final'!#REF!="Muy Baja",'Mapa final'!#REF!="Mayor"),CONCATENATE("R2C",'Mapa final'!#REF!),"")</f>
        <v>#REF!</v>
      </c>
      <c r="AH47" s="46" t="e">
        <f>IF(AND('Mapa final'!#REF!="Muy Baja",'Mapa final'!#REF!="Catastrófico"),CONCATENATE("R2C",'Mapa final'!#REF!),"")</f>
        <v>#REF!</v>
      </c>
      <c r="AI47" s="47" t="e">
        <f>IF(AND('Mapa final'!#REF!="Muy Baja",'Mapa final'!#REF!="Catastrófico"),CONCATENATE("R2C",'Mapa final'!#REF!),"")</f>
        <v>#REF!</v>
      </c>
      <c r="AJ47" s="47" t="e">
        <f>IF(AND('Mapa final'!#REF!="Muy Baja",'Mapa final'!#REF!="Catastrófico"),CONCATENATE("R2C",'Mapa final'!#REF!),"")</f>
        <v>#REF!</v>
      </c>
      <c r="AK47" s="47" t="e">
        <f>IF(AND('Mapa final'!#REF!="Muy Baja",'Mapa final'!#REF!="Catastrófico"),CONCATENATE("R2C",'Mapa final'!#REF!),"")</f>
        <v>#REF!</v>
      </c>
      <c r="AL47" s="47" t="e">
        <f>IF(AND('Mapa final'!#REF!="Muy Baja",'Mapa final'!#REF!="Catastrófico"),CONCATENATE("R2C",'Mapa final'!#REF!),"")</f>
        <v>#REF!</v>
      </c>
      <c r="AM47" s="48" t="e">
        <f>IF(AND('Mapa final'!#REF!="Muy Baja",'Mapa final'!#REF!="Catastrófico"),CONCATENATE("R2C",'Mapa final'!#REF!),"")</f>
        <v>#REF!</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ht="15" customHeight="1" x14ac:dyDescent="0.25">
      <c r="A48" s="74"/>
      <c r="B48" s="237"/>
      <c r="C48" s="237"/>
      <c r="D48" s="238"/>
      <c r="E48" s="334"/>
      <c r="F48" s="335"/>
      <c r="G48" s="335"/>
      <c r="H48" s="335"/>
      <c r="I48" s="351"/>
      <c r="J48" s="67" t="str">
        <f ca="1">IF(AND('Mapa final'!$Y$10="Muy Baja",'Mapa final'!$AA$10="Leve"),CONCATENATE("R3C",'Mapa final'!$O$10),"")</f>
        <v/>
      </c>
      <c r="K48" s="68" t="str">
        <f ca="1">IF(AND('Mapa final'!$Y$11="Muy Baja",'Mapa final'!$AA$11="Leve"),CONCATENATE("R3C",'Mapa final'!$O$11),"")</f>
        <v/>
      </c>
      <c r="L48" s="68" t="str">
        <f ca="1">IF(AND('Mapa final'!$Y$12="Muy Baja",'Mapa final'!$AA$12="Leve"),CONCATENATE("R3C",'Mapa final'!$O$12),"")</f>
        <v/>
      </c>
      <c r="M48" s="68" t="str">
        <f ca="1">IF(AND('Mapa final'!$Y$13="Muy Baja",'Mapa final'!$AA$13="Leve"),CONCATENATE("R3C",'Mapa final'!$O$13),"")</f>
        <v/>
      </c>
      <c r="N48" s="68" t="str">
        <f>IF(AND('Mapa final'!$Y$14="Muy Baja",'Mapa final'!$AA$14="Leve"),CONCATENATE("R3C",'Mapa final'!$O$14),"")</f>
        <v/>
      </c>
      <c r="O48" s="69" t="str">
        <f>IF(AND('Mapa final'!$Y$15="Muy Baja",'Mapa final'!$AA$15="Leve"),CONCATENATE("R3C",'Mapa final'!$O$15),"")</f>
        <v/>
      </c>
      <c r="P48" s="67" t="str">
        <f ca="1">IF(AND('Mapa final'!$Y$10="Muy Baja",'Mapa final'!$AA$10="Menor"),CONCATENATE("R3C",'Mapa final'!$O$10),"")</f>
        <v/>
      </c>
      <c r="Q48" s="68" t="str">
        <f ca="1">IF(AND('Mapa final'!$Y$11="Muy Baja",'Mapa final'!$AA$11="Menor"),CONCATENATE("R3C",'Mapa final'!$O$11),"")</f>
        <v/>
      </c>
      <c r="R48" s="68" t="str">
        <f ca="1">IF(AND('Mapa final'!$Y$12="Muy Baja",'Mapa final'!$AA$12="Menor"),CONCATENATE("R3C",'Mapa final'!$O$12),"")</f>
        <v/>
      </c>
      <c r="S48" s="68" t="str">
        <f ca="1">IF(AND('Mapa final'!$Y$13="Muy Baja",'Mapa final'!$AA$13="Menor"),CONCATENATE("R3C",'Mapa final'!$O$13),"")</f>
        <v/>
      </c>
      <c r="T48" s="68" t="str">
        <f>IF(AND('Mapa final'!$Y$14="Muy Baja",'Mapa final'!$AA$14="Menor"),CONCATENATE("R3C",'Mapa final'!$O$14),"")</f>
        <v/>
      </c>
      <c r="U48" s="69" t="str">
        <f>IF(AND('Mapa final'!$Y$15="Muy Baja",'Mapa final'!$AA$15="Menor"),CONCATENATE("R3C",'Mapa final'!$O$15),"")</f>
        <v/>
      </c>
      <c r="V48" s="58" t="str">
        <f ca="1">IF(AND('Mapa final'!$Y$10="Muy Baja",'Mapa final'!$AA$10="Moderado"),CONCATENATE("R3C",'Mapa final'!$O$10),"")</f>
        <v/>
      </c>
      <c r="W48" s="59" t="str">
        <f ca="1">IF(AND('Mapa final'!$Y$11="Muy Baja",'Mapa final'!$AA$11="Moderado"),CONCATENATE("R3C",'Mapa final'!$O$11),"")</f>
        <v/>
      </c>
      <c r="X48" s="59" t="str">
        <f ca="1">IF(AND('Mapa final'!$Y$12="Muy Baja",'Mapa final'!$AA$12="Moderado"),CONCATENATE("R3C",'Mapa final'!$O$12),"")</f>
        <v/>
      </c>
      <c r="Y48" s="59" t="str">
        <f ca="1">IF(AND('Mapa final'!$Y$13="Muy Baja",'Mapa final'!$AA$13="Moderado"),CONCATENATE("R3C",'Mapa final'!$O$13),"")</f>
        <v/>
      </c>
      <c r="Z48" s="59" t="str">
        <f>IF(AND('Mapa final'!$Y$14="Muy Baja",'Mapa final'!$AA$14="Moderado"),CONCATENATE("R3C",'Mapa final'!$O$14),"")</f>
        <v/>
      </c>
      <c r="AA48" s="60" t="str">
        <f>IF(AND('Mapa final'!$Y$15="Muy Baja",'Mapa final'!$AA$15="Moderado"),CONCATENATE("R3C",'Mapa final'!$O$15),"")</f>
        <v/>
      </c>
      <c r="AB48" s="43" t="str">
        <f ca="1">IF(AND('Mapa final'!$Y$10="Muy Baja",'Mapa final'!$AA$10="Mayor"),CONCATENATE("R3C",'Mapa final'!$O$10),"")</f>
        <v/>
      </c>
      <c r="AC48" s="44" t="str">
        <f ca="1">IF(AND('Mapa final'!$Y$11="Muy Baja",'Mapa final'!$AA$11="Mayor"),CONCATENATE("R3C",'Mapa final'!$O$11),"")</f>
        <v/>
      </c>
      <c r="AD48" s="44" t="str">
        <f ca="1">IF(AND('Mapa final'!$Y$12="Muy Baja",'Mapa final'!$AA$12="Mayor"),CONCATENATE("R3C",'Mapa final'!$O$12),"")</f>
        <v>R3C3</v>
      </c>
      <c r="AE48" s="44" t="str">
        <f ca="1">IF(AND('Mapa final'!$Y$13="Muy Baja",'Mapa final'!$AA$13="Mayor"),CONCATENATE("R3C",'Mapa final'!$O$13),"")</f>
        <v>R3C4</v>
      </c>
      <c r="AF48" s="44" t="str">
        <f>IF(AND('Mapa final'!$Y$14="Muy Baja",'Mapa final'!$AA$14="Mayor"),CONCATENATE("R3C",'Mapa final'!$O$14),"")</f>
        <v/>
      </c>
      <c r="AG48" s="45" t="str">
        <f>IF(AND('Mapa final'!$Y$15="Muy Baja",'Mapa final'!$AA$15="Mayor"),CONCATENATE("R3C",'Mapa final'!$O$15),"")</f>
        <v/>
      </c>
      <c r="AH48" s="46" t="str">
        <f ca="1">IF(AND('Mapa final'!$Y$10="Muy Baja",'Mapa final'!$AA$10="Catastrófico"),CONCATENATE("R3C",'Mapa final'!$O$10),"")</f>
        <v/>
      </c>
      <c r="AI48" s="47" t="str">
        <f ca="1">IF(AND('Mapa final'!$Y$11="Muy Baja",'Mapa final'!$AA$11="Catastrófico"),CONCATENATE("R3C",'Mapa final'!$O$11),"")</f>
        <v/>
      </c>
      <c r="AJ48" s="47" t="str">
        <f ca="1">IF(AND('Mapa final'!$Y$12="Muy Baja",'Mapa final'!$AA$12="Catastrófico"),CONCATENATE("R3C",'Mapa final'!$O$12),"")</f>
        <v/>
      </c>
      <c r="AK48" s="47" t="str">
        <f ca="1">IF(AND('Mapa final'!$Y$13="Muy Baja",'Mapa final'!$AA$13="Catastrófico"),CONCATENATE("R3C",'Mapa final'!$O$13),"")</f>
        <v/>
      </c>
      <c r="AL48" s="47" t="str">
        <f>IF(AND('Mapa final'!$Y$14="Muy Baja",'Mapa final'!$AA$14="Catastrófico"),CONCATENATE("R3C",'Mapa final'!$O$14),"")</f>
        <v/>
      </c>
      <c r="AM48" s="48" t="str">
        <f>IF(AND('Mapa final'!$Y$15="Muy Baja",'Mapa final'!$AA$15="Catastrófico"),CONCATENATE("R3C",'Mapa final'!$O$15),"")</f>
        <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ht="15" customHeight="1" x14ac:dyDescent="0.25">
      <c r="A49" s="74"/>
      <c r="B49" s="237"/>
      <c r="C49" s="237"/>
      <c r="D49" s="238"/>
      <c r="E49" s="336"/>
      <c r="F49" s="335"/>
      <c r="G49" s="335"/>
      <c r="H49" s="335"/>
      <c r="I49" s="351"/>
      <c r="J49" s="67" t="str">
        <f ca="1">IF(AND('Mapa final'!$Y$16="Muy Baja",'Mapa final'!$AA$16="Leve"),CONCATENATE("R4C",'Mapa final'!$O$16),"")</f>
        <v/>
      </c>
      <c r="K49" s="68" t="str">
        <f ca="1">IF(AND('Mapa final'!$Y$17="Muy Baja",'Mapa final'!$AA$17="Leve"),CONCATENATE("R4C",'Mapa final'!$O$17),"")</f>
        <v/>
      </c>
      <c r="L49" s="68" t="str">
        <f ca="1">IF(AND('Mapa final'!$Y$18="Muy Baja",'Mapa final'!$AA$18="Leve"),CONCATENATE("R4C",'Mapa final'!$O$18),"")</f>
        <v/>
      </c>
      <c r="M49" s="68" t="str">
        <f>IF(AND('Mapa final'!$Y$19="Muy Baja",'Mapa final'!$AA$19="Leve"),CONCATENATE("R4C",'Mapa final'!$O$19),"")</f>
        <v/>
      </c>
      <c r="N49" s="68" t="str">
        <f>IF(AND('Mapa final'!$Y$20="Muy Baja",'Mapa final'!$AA$20="Leve"),CONCATENATE("R4C",'Mapa final'!$O$20),"")</f>
        <v/>
      </c>
      <c r="O49" s="69" t="str">
        <f>IF(AND('Mapa final'!$Y$21="Muy Baja",'Mapa final'!$AA$21="Leve"),CONCATENATE("R4C",'Mapa final'!$O$21),"")</f>
        <v/>
      </c>
      <c r="P49" s="67" t="str">
        <f ca="1">IF(AND('Mapa final'!$Y$16="Muy Baja",'Mapa final'!$AA$16="Menor"),CONCATENATE("R4C",'Mapa final'!$O$16),"")</f>
        <v/>
      </c>
      <c r="Q49" s="68" t="str">
        <f ca="1">IF(AND('Mapa final'!$Y$17="Muy Baja",'Mapa final'!$AA$17="Menor"),CONCATENATE("R4C",'Mapa final'!$O$17),"")</f>
        <v/>
      </c>
      <c r="R49" s="68" t="str">
        <f ca="1">IF(AND('Mapa final'!$Y$18="Muy Baja",'Mapa final'!$AA$18="Menor"),CONCATENATE("R4C",'Mapa final'!$O$18),"")</f>
        <v/>
      </c>
      <c r="S49" s="68" t="str">
        <f>IF(AND('Mapa final'!$Y$19="Muy Baja",'Mapa final'!$AA$19="Menor"),CONCATENATE("R4C",'Mapa final'!$O$19),"")</f>
        <v/>
      </c>
      <c r="T49" s="68" t="str">
        <f>IF(AND('Mapa final'!$Y$20="Muy Baja",'Mapa final'!$AA$20="Menor"),CONCATENATE("R4C",'Mapa final'!$O$20),"")</f>
        <v/>
      </c>
      <c r="U49" s="69" t="str">
        <f>IF(AND('Mapa final'!$Y$21="Muy Baja",'Mapa final'!$AA$21="Menor"),CONCATENATE("R4C",'Mapa final'!$O$21),"")</f>
        <v/>
      </c>
      <c r="V49" s="58" t="str">
        <f ca="1">IF(AND('Mapa final'!$Y$16="Muy Baja",'Mapa final'!$AA$16="Moderado"),CONCATENATE("R4C",'Mapa final'!$O$16),"")</f>
        <v/>
      </c>
      <c r="W49" s="59" t="str">
        <f ca="1">IF(AND('Mapa final'!$Y$17="Muy Baja",'Mapa final'!$AA$17="Moderado"),CONCATENATE("R4C",'Mapa final'!$O$17),"")</f>
        <v/>
      </c>
      <c r="X49" s="59" t="str">
        <f ca="1">IF(AND('Mapa final'!$Y$18="Muy Baja",'Mapa final'!$AA$18="Moderado"),CONCATENATE("R4C",'Mapa final'!$O$18),"")</f>
        <v/>
      </c>
      <c r="Y49" s="59" t="str">
        <f>IF(AND('Mapa final'!$Y$19="Muy Baja",'Mapa final'!$AA$19="Moderado"),CONCATENATE("R4C",'Mapa final'!$O$19),"")</f>
        <v/>
      </c>
      <c r="Z49" s="59" t="str">
        <f>IF(AND('Mapa final'!$Y$20="Muy Baja",'Mapa final'!$AA$20="Moderado"),CONCATENATE("R4C",'Mapa final'!$O$20),"")</f>
        <v/>
      </c>
      <c r="AA49" s="60" t="str">
        <f>IF(AND('Mapa final'!$Y$21="Muy Baja",'Mapa final'!$AA$21="Moderado"),CONCATENATE("R4C",'Mapa final'!$O$21),"")</f>
        <v/>
      </c>
      <c r="AB49" s="43" t="str">
        <f ca="1">IF(AND('Mapa final'!$Y$16="Muy Baja",'Mapa final'!$AA$16="Mayor"),CONCATENATE("R4C",'Mapa final'!$O$16),"")</f>
        <v/>
      </c>
      <c r="AC49" s="44" t="str">
        <f ca="1">IF(AND('Mapa final'!$Y$17="Muy Baja",'Mapa final'!$AA$17="Mayor"),CONCATENATE("R4C",'Mapa final'!$O$17),"")</f>
        <v/>
      </c>
      <c r="AD49" s="44" t="str">
        <f ca="1">IF(AND('Mapa final'!$Y$18="Muy Baja",'Mapa final'!$AA$18="Mayor"),CONCATENATE("R4C",'Mapa final'!$O$18),"")</f>
        <v>R4C3</v>
      </c>
      <c r="AE49" s="44" t="str">
        <f>IF(AND('Mapa final'!$Y$19="Muy Baja",'Mapa final'!$AA$19="Mayor"),CONCATENATE("R4C",'Mapa final'!$O$19),"")</f>
        <v/>
      </c>
      <c r="AF49" s="44" t="str">
        <f>IF(AND('Mapa final'!$Y$20="Muy Baja",'Mapa final'!$AA$20="Mayor"),CONCATENATE("R4C",'Mapa final'!$O$20),"")</f>
        <v/>
      </c>
      <c r="AG49" s="45" t="str">
        <f>IF(AND('Mapa final'!$Y$21="Muy Baja",'Mapa final'!$AA$21="Mayor"),CONCATENATE("R4C",'Mapa final'!$O$21),"")</f>
        <v/>
      </c>
      <c r="AH49" s="46" t="str">
        <f ca="1">IF(AND('Mapa final'!$Y$16="Muy Baja",'Mapa final'!$AA$16="Catastrófico"),CONCATENATE("R4C",'Mapa final'!$O$16),"")</f>
        <v/>
      </c>
      <c r="AI49" s="47" t="str">
        <f ca="1">IF(AND('Mapa final'!$Y$17="Muy Baja",'Mapa final'!$AA$17="Catastrófico"),CONCATENATE("R4C",'Mapa final'!$O$17),"")</f>
        <v/>
      </c>
      <c r="AJ49" s="47" t="str">
        <f ca="1">IF(AND('Mapa final'!$Y$18="Muy Baja",'Mapa final'!$AA$18="Catastrófico"),CONCATENATE("R4C",'Mapa final'!$O$18),"")</f>
        <v/>
      </c>
      <c r="AK49" s="47" t="str">
        <f>IF(AND('Mapa final'!$Y$19="Muy Baja",'Mapa final'!$AA$19="Catastrófico"),CONCATENATE("R4C",'Mapa final'!$O$19),"")</f>
        <v/>
      </c>
      <c r="AL49" s="47" t="str">
        <f>IF(AND('Mapa final'!$Y$20="Muy Baja",'Mapa final'!$AA$20="Catastrófico"),CONCATENATE("R4C",'Mapa final'!$O$20),"")</f>
        <v/>
      </c>
      <c r="AM49" s="48" t="str">
        <f>IF(AND('Mapa final'!$Y$21="Muy Baja",'Mapa final'!$AA$21="Catastrófico"),CONCATENATE("R4C",'Mapa final'!$O$21),"")</f>
        <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ht="15" customHeight="1" x14ac:dyDescent="0.25">
      <c r="A50" s="74"/>
      <c r="B50" s="237"/>
      <c r="C50" s="237"/>
      <c r="D50" s="238"/>
      <c r="E50" s="336"/>
      <c r="F50" s="335"/>
      <c r="G50" s="335"/>
      <c r="H50" s="335"/>
      <c r="I50" s="351"/>
      <c r="J50" s="67" t="str">
        <f ca="1">IF(AND('Mapa final'!$Y$22="Muy Baja",'Mapa final'!$AA$22="Leve"),CONCATENATE("R5C",'Mapa final'!$O$22),"")</f>
        <v/>
      </c>
      <c r="K50" s="68" t="str">
        <f ca="1">IF(AND('Mapa final'!$Y$23="Muy Baja",'Mapa final'!$AA$23="Leve"),CONCATENATE("R5C",'Mapa final'!$O$23),"")</f>
        <v/>
      </c>
      <c r="L50" s="68" t="str">
        <f ca="1">IF(AND('Mapa final'!$Y$24="Muy Baja",'Mapa final'!$AA$24="Leve"),CONCATENATE("R5C",'Mapa final'!$O$24),"")</f>
        <v/>
      </c>
      <c r="M50" s="68" t="str">
        <f>IF(AND('Mapa final'!$Y$25="Muy Baja",'Mapa final'!$AA$25="Leve"),CONCATENATE("R5C",'Mapa final'!$O$25),"")</f>
        <v/>
      </c>
      <c r="N50" s="68" t="str">
        <f>IF(AND('Mapa final'!$Y$26="Muy Baja",'Mapa final'!$AA$26="Leve"),CONCATENATE("R5C",'Mapa final'!$O$26),"")</f>
        <v/>
      </c>
      <c r="O50" s="69" t="str">
        <f>IF(AND('Mapa final'!$Y$27="Muy Baja",'Mapa final'!$AA$27="Leve"),CONCATENATE("R5C",'Mapa final'!$O$27),"")</f>
        <v/>
      </c>
      <c r="P50" s="67" t="str">
        <f ca="1">IF(AND('Mapa final'!$Y$22="Muy Baja",'Mapa final'!$AA$22="Menor"),CONCATENATE("R5C",'Mapa final'!$O$22),"")</f>
        <v/>
      </c>
      <c r="Q50" s="68" t="str">
        <f ca="1">IF(AND('Mapa final'!$Y$23="Muy Baja",'Mapa final'!$AA$23="Menor"),CONCATENATE("R5C",'Mapa final'!$O$23),"")</f>
        <v/>
      </c>
      <c r="R50" s="68" t="str">
        <f ca="1">IF(AND('Mapa final'!$Y$24="Muy Baja",'Mapa final'!$AA$24="Menor"),CONCATENATE("R5C",'Mapa final'!$O$24),"")</f>
        <v/>
      </c>
      <c r="S50" s="68" t="str">
        <f>IF(AND('Mapa final'!$Y$25="Muy Baja",'Mapa final'!$AA$25="Menor"),CONCATENATE("R5C",'Mapa final'!$O$25),"")</f>
        <v/>
      </c>
      <c r="T50" s="68" t="str">
        <f>IF(AND('Mapa final'!$Y$26="Muy Baja",'Mapa final'!$AA$26="Menor"),CONCATENATE("R5C",'Mapa final'!$O$26),"")</f>
        <v/>
      </c>
      <c r="U50" s="69" t="str">
        <f>IF(AND('Mapa final'!$Y$27="Muy Baja",'Mapa final'!$AA$27="Menor"),CONCATENATE("R5C",'Mapa final'!$O$27),"")</f>
        <v/>
      </c>
      <c r="V50" s="58" t="str">
        <f ca="1">IF(AND('Mapa final'!$Y$22="Muy Baja",'Mapa final'!$AA$22="Moderado"),CONCATENATE("R5C",'Mapa final'!$O$22),"")</f>
        <v/>
      </c>
      <c r="W50" s="59" t="str">
        <f ca="1">IF(AND('Mapa final'!$Y$23="Muy Baja",'Mapa final'!$AA$23="Moderado"),CONCATENATE("R5C",'Mapa final'!$O$23),"")</f>
        <v/>
      </c>
      <c r="X50" s="59" t="str">
        <f ca="1">IF(AND('Mapa final'!$Y$24="Muy Baja",'Mapa final'!$AA$24="Moderado"),CONCATENATE("R5C",'Mapa final'!$O$24),"")</f>
        <v/>
      </c>
      <c r="Y50" s="59" t="str">
        <f>IF(AND('Mapa final'!$Y$25="Muy Baja",'Mapa final'!$AA$25="Moderado"),CONCATENATE("R5C",'Mapa final'!$O$25),"")</f>
        <v/>
      </c>
      <c r="Z50" s="59" t="str">
        <f>IF(AND('Mapa final'!$Y$26="Muy Baja",'Mapa final'!$AA$26="Moderado"),CONCATENATE("R5C",'Mapa final'!$O$26),"")</f>
        <v/>
      </c>
      <c r="AA50" s="60" t="str">
        <f>IF(AND('Mapa final'!$Y$27="Muy Baja",'Mapa final'!$AA$27="Moderado"),CONCATENATE("R5C",'Mapa final'!$O$27),"")</f>
        <v/>
      </c>
      <c r="AB50" s="43" t="str">
        <f ca="1">IF(AND('Mapa final'!$Y$22="Muy Baja",'Mapa final'!$AA$22="Mayor"),CONCATENATE("R5C",'Mapa final'!$O$22),"")</f>
        <v/>
      </c>
      <c r="AC50" s="44" t="str">
        <f ca="1">IF(AND('Mapa final'!$Y$23="Muy Baja",'Mapa final'!$AA$23="Mayor"),CONCATENATE("R5C",'Mapa final'!$O$23),"")</f>
        <v/>
      </c>
      <c r="AD50" s="44" t="str">
        <f ca="1">IF(AND('Mapa final'!$Y$24="Muy Baja",'Mapa final'!$AA$24="Mayor"),CONCATENATE("R5C",'Mapa final'!$O$24),"")</f>
        <v/>
      </c>
      <c r="AE50" s="44" t="str">
        <f>IF(AND('Mapa final'!$Y$25="Muy Baja",'Mapa final'!$AA$25="Mayor"),CONCATENATE("R5C",'Mapa final'!$O$25),"")</f>
        <v/>
      </c>
      <c r="AF50" s="44" t="str">
        <f>IF(AND('Mapa final'!$Y$26="Muy Baja",'Mapa final'!$AA$26="Mayor"),CONCATENATE("R5C",'Mapa final'!$O$26),"")</f>
        <v/>
      </c>
      <c r="AG50" s="45" t="str">
        <f>IF(AND('Mapa final'!$Y$27="Muy Baja",'Mapa final'!$AA$27="Mayor"),CONCATENATE("R5C",'Mapa final'!$O$27),"")</f>
        <v/>
      </c>
      <c r="AH50" s="46" t="str">
        <f ca="1">IF(AND('Mapa final'!$Y$22="Muy Baja",'Mapa final'!$AA$22="Catastrófico"),CONCATENATE("R5C",'Mapa final'!$O$22),"")</f>
        <v/>
      </c>
      <c r="AI50" s="47" t="str">
        <f ca="1">IF(AND('Mapa final'!$Y$23="Muy Baja",'Mapa final'!$AA$23="Catastrófico"),CONCATENATE("R5C",'Mapa final'!$O$23),"")</f>
        <v/>
      </c>
      <c r="AJ50" s="47" t="str">
        <f ca="1">IF(AND('Mapa final'!$Y$24="Muy Baja",'Mapa final'!$AA$24="Catastrófico"),CONCATENATE("R5C",'Mapa final'!$O$24),"")</f>
        <v/>
      </c>
      <c r="AK50" s="47" t="str">
        <f>IF(AND('Mapa final'!$Y$25="Muy Baja",'Mapa final'!$AA$25="Catastrófico"),CONCATENATE("R5C",'Mapa final'!$O$25),"")</f>
        <v/>
      </c>
      <c r="AL50" s="47" t="str">
        <f>IF(AND('Mapa final'!$Y$26="Muy Baja",'Mapa final'!$AA$26="Catastrófico"),CONCATENATE("R5C",'Mapa final'!$O$26),"")</f>
        <v/>
      </c>
      <c r="AM50" s="48" t="str">
        <f>IF(AND('Mapa final'!$Y$27="Muy Baja",'Mapa final'!$AA$27="Catastrófico"),CONCATENATE("R5C",'Mapa final'!$O$27),"")</f>
        <v/>
      </c>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 customHeight="1" x14ac:dyDescent="0.25">
      <c r="A51" s="74"/>
      <c r="B51" s="237"/>
      <c r="C51" s="237"/>
      <c r="D51" s="238"/>
      <c r="E51" s="336"/>
      <c r="F51" s="335"/>
      <c r="G51" s="335"/>
      <c r="H51" s="335"/>
      <c r="I51" s="351"/>
      <c r="J51" s="67" t="str">
        <f ca="1">IF(AND('Mapa final'!$Y$28="Muy Baja",'Mapa final'!$AA$28="Leve"),CONCATENATE("R6C",'Mapa final'!$O$28),"")</f>
        <v/>
      </c>
      <c r="K51" s="68" t="str">
        <f ca="1">IF(AND('Mapa final'!$Y$29="Muy Baja",'Mapa final'!$AA$29="Leve"),CONCATENATE("R6C",'Mapa final'!$O$29),"")</f>
        <v/>
      </c>
      <c r="L51" s="68" t="str">
        <f ca="1">IF(AND('Mapa final'!$Y$30="Muy Baja",'Mapa final'!$AA$30="Leve"),CONCATENATE("R6C",'Mapa final'!$O$30),"")</f>
        <v/>
      </c>
      <c r="M51" s="68" t="str">
        <f>IF(AND('Mapa final'!$Y$31="Muy Baja",'Mapa final'!$AA$31="Leve"),CONCATENATE("R6C",'Mapa final'!$O$31),"")</f>
        <v/>
      </c>
      <c r="N51" s="68" t="str">
        <f>IF(AND('Mapa final'!$Y$32="Muy Baja",'Mapa final'!$AA$32="Leve"),CONCATENATE("R6C",'Mapa final'!$O$32),"")</f>
        <v/>
      </c>
      <c r="O51" s="69" t="str">
        <f>IF(AND('Mapa final'!$Y$33="Muy Baja",'Mapa final'!$AA$33="Leve"),CONCATENATE("R6C",'Mapa final'!$O$33),"")</f>
        <v/>
      </c>
      <c r="P51" s="67" t="str">
        <f ca="1">IF(AND('Mapa final'!$Y$28="Muy Baja",'Mapa final'!$AA$28="Menor"),CONCATENATE("R6C",'Mapa final'!$O$28),"")</f>
        <v/>
      </c>
      <c r="Q51" s="68" t="str">
        <f ca="1">IF(AND('Mapa final'!$Y$29="Muy Baja",'Mapa final'!$AA$29="Menor"),CONCATENATE("R6C",'Mapa final'!$O$29),"")</f>
        <v/>
      </c>
      <c r="R51" s="68" t="str">
        <f ca="1">IF(AND('Mapa final'!$Y$30="Muy Baja",'Mapa final'!$AA$30="Menor"),CONCATENATE("R6C",'Mapa final'!$O$30),"")</f>
        <v/>
      </c>
      <c r="S51" s="68" t="str">
        <f>IF(AND('Mapa final'!$Y$31="Muy Baja",'Mapa final'!$AA$31="Menor"),CONCATENATE("R6C",'Mapa final'!$O$31),"")</f>
        <v/>
      </c>
      <c r="T51" s="68" t="str">
        <f>IF(AND('Mapa final'!$Y$32="Muy Baja",'Mapa final'!$AA$32="Menor"),CONCATENATE("R6C",'Mapa final'!$O$32),"")</f>
        <v/>
      </c>
      <c r="U51" s="69" t="str">
        <f>IF(AND('Mapa final'!$Y$33="Muy Baja",'Mapa final'!$AA$33="Menor"),CONCATENATE("R6C",'Mapa final'!$O$33),"")</f>
        <v/>
      </c>
      <c r="V51" s="58" t="str">
        <f ca="1">IF(AND('Mapa final'!$Y$28="Muy Baja",'Mapa final'!$AA$28="Moderado"),CONCATENATE("R6C",'Mapa final'!$O$28),"")</f>
        <v/>
      </c>
      <c r="W51" s="59" t="str">
        <f ca="1">IF(AND('Mapa final'!$Y$29="Muy Baja",'Mapa final'!$AA$29="Moderado"),CONCATENATE("R6C",'Mapa final'!$O$29),"")</f>
        <v/>
      </c>
      <c r="X51" s="59" t="str">
        <f ca="1">IF(AND('Mapa final'!$Y$30="Muy Baja",'Mapa final'!$AA$30="Moderado"),CONCATENATE("R6C",'Mapa final'!$O$30),"")</f>
        <v/>
      </c>
      <c r="Y51" s="59" t="str">
        <f>IF(AND('Mapa final'!$Y$31="Muy Baja",'Mapa final'!$AA$31="Moderado"),CONCATENATE("R6C",'Mapa final'!$O$31),"")</f>
        <v/>
      </c>
      <c r="Z51" s="59" t="str">
        <f>IF(AND('Mapa final'!$Y$32="Muy Baja",'Mapa final'!$AA$32="Moderado"),CONCATENATE("R6C",'Mapa final'!$O$32),"")</f>
        <v/>
      </c>
      <c r="AA51" s="60" t="str">
        <f>IF(AND('Mapa final'!$Y$33="Muy Baja",'Mapa final'!$AA$33="Moderado"),CONCATENATE("R6C",'Mapa final'!$O$33),"")</f>
        <v/>
      </c>
      <c r="AB51" s="43" t="str">
        <f ca="1">IF(AND('Mapa final'!$Y$28="Muy Baja",'Mapa final'!$AA$28="Mayor"),CONCATENATE("R6C",'Mapa final'!$O$28),"")</f>
        <v/>
      </c>
      <c r="AC51" s="44" t="str">
        <f ca="1">IF(AND('Mapa final'!$Y$29="Muy Baja",'Mapa final'!$AA$29="Mayor"),CONCATENATE("R6C",'Mapa final'!$O$29),"")</f>
        <v/>
      </c>
      <c r="AD51" s="44" t="str">
        <f ca="1">IF(AND('Mapa final'!$Y$30="Muy Baja",'Mapa final'!$AA$30="Mayor"),CONCATENATE("R6C",'Mapa final'!$O$30),"")</f>
        <v/>
      </c>
      <c r="AE51" s="44" t="str">
        <f>IF(AND('Mapa final'!$Y$31="Muy Baja",'Mapa final'!$AA$31="Mayor"),CONCATENATE("R6C",'Mapa final'!$O$31),"")</f>
        <v/>
      </c>
      <c r="AF51" s="44" t="str">
        <f>IF(AND('Mapa final'!$Y$32="Muy Baja",'Mapa final'!$AA$32="Mayor"),CONCATENATE("R6C",'Mapa final'!$O$32),"")</f>
        <v/>
      </c>
      <c r="AG51" s="45" t="str">
        <f>IF(AND('Mapa final'!$Y$33="Muy Baja",'Mapa final'!$AA$33="Mayor"),CONCATENATE("R6C",'Mapa final'!$O$33),"")</f>
        <v/>
      </c>
      <c r="AH51" s="46" t="str">
        <f ca="1">IF(AND('Mapa final'!$Y$28="Muy Baja",'Mapa final'!$AA$28="Catastrófico"),CONCATENATE("R6C",'Mapa final'!$O$28),"")</f>
        <v/>
      </c>
      <c r="AI51" s="47" t="str">
        <f ca="1">IF(AND('Mapa final'!$Y$29="Muy Baja",'Mapa final'!$AA$29="Catastrófico"),CONCATENATE("R6C",'Mapa final'!$O$29),"")</f>
        <v/>
      </c>
      <c r="AJ51" s="47" t="str">
        <f ca="1">IF(AND('Mapa final'!$Y$30="Muy Baja",'Mapa final'!$AA$30="Catastrófico"),CONCATENATE("R6C",'Mapa final'!$O$30),"")</f>
        <v/>
      </c>
      <c r="AK51" s="47" t="str">
        <f>IF(AND('Mapa final'!$Y$31="Muy Baja",'Mapa final'!$AA$31="Catastrófico"),CONCATENATE("R6C",'Mapa final'!$O$31),"")</f>
        <v/>
      </c>
      <c r="AL51" s="47" t="str">
        <f>IF(AND('Mapa final'!$Y$32="Muy Baja",'Mapa final'!$AA$32="Catastrófico"),CONCATENATE("R6C",'Mapa final'!$O$32),"")</f>
        <v/>
      </c>
      <c r="AM51" s="48" t="str">
        <f>IF(AND('Mapa final'!$Y$33="Muy Baja",'Mapa final'!$AA$33="Catastrófico"),CONCATENATE("R6C",'Mapa final'!$O$33),"")</f>
        <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ht="15" customHeight="1" x14ac:dyDescent="0.25">
      <c r="A52" s="74"/>
      <c r="B52" s="237"/>
      <c r="C52" s="237"/>
      <c r="D52" s="238"/>
      <c r="E52" s="336"/>
      <c r="F52" s="335"/>
      <c r="G52" s="335"/>
      <c r="H52" s="335"/>
      <c r="I52" s="351"/>
      <c r="J52" s="67" t="str">
        <f ca="1">IF(AND('Mapa final'!$Y$34="Muy Baja",'Mapa final'!$AA$34="Leve"),CONCATENATE("R7C",'Mapa final'!$O$34),"")</f>
        <v/>
      </c>
      <c r="K52" s="68" t="str">
        <f ca="1">IF(AND('Mapa final'!$Y$35="Muy Baja",'Mapa final'!$AA$35="Leve"),CONCATENATE("R7C",'Mapa final'!$O$35),"")</f>
        <v/>
      </c>
      <c r="L52" s="68" t="str">
        <f ca="1">IF(AND('Mapa final'!$Y$36="Muy Baja",'Mapa final'!$AA$36="Leve"),CONCATENATE("R7C",'Mapa final'!$O$36),"")</f>
        <v/>
      </c>
      <c r="M52" s="68" t="str">
        <f>IF(AND('Mapa final'!$Y$37="Muy Baja",'Mapa final'!$AA$37="Leve"),CONCATENATE("R7C",'Mapa final'!$O$37),"")</f>
        <v/>
      </c>
      <c r="N52" s="68" t="str">
        <f>IF(AND('Mapa final'!$Y$38="Muy Baja",'Mapa final'!$AA$38="Leve"),CONCATENATE("R7C",'Mapa final'!$O$38),"")</f>
        <v/>
      </c>
      <c r="O52" s="69" t="str">
        <f>IF(AND('Mapa final'!$Y$39="Muy Baja",'Mapa final'!$AA$39="Leve"),CONCATENATE("R7C",'Mapa final'!$O$39),"")</f>
        <v/>
      </c>
      <c r="P52" s="67" t="str">
        <f ca="1">IF(AND('Mapa final'!$Y$34="Muy Baja",'Mapa final'!$AA$34="Menor"),CONCATENATE("R7C",'Mapa final'!$O$34),"")</f>
        <v/>
      </c>
      <c r="Q52" s="68" t="str">
        <f ca="1">IF(AND('Mapa final'!$Y$35="Muy Baja",'Mapa final'!$AA$35="Menor"),CONCATENATE("R7C",'Mapa final'!$O$35),"")</f>
        <v/>
      </c>
      <c r="R52" s="68" t="str">
        <f ca="1">IF(AND('Mapa final'!$Y$36="Muy Baja",'Mapa final'!$AA$36="Menor"),CONCATENATE("R7C",'Mapa final'!$O$36),"")</f>
        <v/>
      </c>
      <c r="S52" s="68" t="str">
        <f>IF(AND('Mapa final'!$Y$37="Muy Baja",'Mapa final'!$AA$37="Menor"),CONCATENATE("R7C",'Mapa final'!$O$37),"")</f>
        <v/>
      </c>
      <c r="T52" s="68" t="str">
        <f>IF(AND('Mapa final'!$Y$38="Muy Baja",'Mapa final'!$AA$38="Menor"),CONCATENATE("R7C",'Mapa final'!$O$38),"")</f>
        <v/>
      </c>
      <c r="U52" s="69" t="str">
        <f>IF(AND('Mapa final'!$Y$39="Muy Baja",'Mapa final'!$AA$39="Menor"),CONCATENATE("R7C",'Mapa final'!$O$39),"")</f>
        <v/>
      </c>
      <c r="V52" s="58" t="str">
        <f ca="1">IF(AND('Mapa final'!$Y$34="Muy Baja",'Mapa final'!$AA$34="Moderado"),CONCATENATE("R7C",'Mapa final'!$O$34),"")</f>
        <v/>
      </c>
      <c r="W52" s="59" t="str">
        <f ca="1">IF(AND('Mapa final'!$Y$35="Muy Baja",'Mapa final'!$AA$35="Moderado"),CONCATENATE("R7C",'Mapa final'!$O$35),"")</f>
        <v/>
      </c>
      <c r="X52" s="59" t="str">
        <f ca="1">IF(AND('Mapa final'!$Y$36="Muy Baja",'Mapa final'!$AA$36="Moderado"),CONCATENATE("R7C",'Mapa final'!$O$36),"")</f>
        <v>R7C3</v>
      </c>
      <c r="Y52" s="59" t="str">
        <f>IF(AND('Mapa final'!$Y$37="Muy Baja",'Mapa final'!$AA$37="Moderado"),CONCATENATE("R7C",'Mapa final'!$O$37),"")</f>
        <v/>
      </c>
      <c r="Z52" s="59" t="str">
        <f>IF(AND('Mapa final'!$Y$38="Muy Baja",'Mapa final'!$AA$38="Moderado"),CONCATENATE("R7C",'Mapa final'!$O$38),"")</f>
        <v/>
      </c>
      <c r="AA52" s="60" t="str">
        <f>IF(AND('Mapa final'!$Y$39="Muy Baja",'Mapa final'!$AA$39="Moderado"),CONCATENATE("R7C",'Mapa final'!$O$39),"")</f>
        <v/>
      </c>
      <c r="AB52" s="43" t="str">
        <f ca="1">IF(AND('Mapa final'!$Y$34="Muy Baja",'Mapa final'!$AA$34="Mayor"),CONCATENATE("R7C",'Mapa final'!$O$34),"")</f>
        <v/>
      </c>
      <c r="AC52" s="44" t="str">
        <f ca="1">IF(AND('Mapa final'!$Y$35="Muy Baja",'Mapa final'!$AA$35="Mayor"),CONCATENATE("R7C",'Mapa final'!$O$35),"")</f>
        <v/>
      </c>
      <c r="AD52" s="44" t="str">
        <f ca="1">IF(AND('Mapa final'!$Y$36="Muy Baja",'Mapa final'!$AA$36="Mayor"),CONCATENATE("R7C",'Mapa final'!$O$36),"")</f>
        <v/>
      </c>
      <c r="AE52" s="44" t="str">
        <f>IF(AND('Mapa final'!$Y$37="Muy Baja",'Mapa final'!$AA$37="Mayor"),CONCATENATE("R7C",'Mapa final'!$O$37),"")</f>
        <v/>
      </c>
      <c r="AF52" s="44" t="str">
        <f>IF(AND('Mapa final'!$Y$38="Muy Baja",'Mapa final'!$AA$38="Mayor"),CONCATENATE("R7C",'Mapa final'!$O$38),"")</f>
        <v/>
      </c>
      <c r="AG52" s="45" t="str">
        <f>IF(AND('Mapa final'!$Y$39="Muy Baja",'Mapa final'!$AA$39="Mayor"),CONCATENATE("R7C",'Mapa final'!$O$39),"")</f>
        <v/>
      </c>
      <c r="AH52" s="46" t="str">
        <f ca="1">IF(AND('Mapa final'!$Y$34="Muy Baja",'Mapa final'!$AA$34="Catastrófico"),CONCATENATE("R7C",'Mapa final'!$O$34),"")</f>
        <v/>
      </c>
      <c r="AI52" s="47" t="str">
        <f ca="1">IF(AND('Mapa final'!$Y$35="Muy Baja",'Mapa final'!$AA$35="Catastrófico"),CONCATENATE("R7C",'Mapa final'!$O$35),"")</f>
        <v/>
      </c>
      <c r="AJ52" s="47" t="str">
        <f ca="1">IF(AND('Mapa final'!$Y$36="Muy Baja",'Mapa final'!$AA$36="Catastrófico"),CONCATENATE("R7C",'Mapa final'!$O$36),"")</f>
        <v/>
      </c>
      <c r="AK52" s="47" t="str">
        <f>IF(AND('Mapa final'!$Y$37="Muy Baja",'Mapa final'!$AA$37="Catastrófico"),CONCATENATE("R7C",'Mapa final'!$O$37),"")</f>
        <v/>
      </c>
      <c r="AL52" s="47" t="str">
        <f>IF(AND('Mapa final'!$Y$38="Muy Baja",'Mapa final'!$AA$38="Catastrófico"),CONCATENATE("R7C",'Mapa final'!$O$38),"")</f>
        <v/>
      </c>
      <c r="AM52" s="48" t="str">
        <f>IF(AND('Mapa final'!$Y$39="Muy Baja",'Mapa final'!$AA$39="Catastrófico"),CONCATENATE("R7C",'Mapa final'!$O$39),"")</f>
        <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237"/>
      <c r="C53" s="237"/>
      <c r="D53" s="238"/>
      <c r="E53" s="336"/>
      <c r="F53" s="335"/>
      <c r="G53" s="335"/>
      <c r="H53" s="335"/>
      <c r="I53" s="351"/>
      <c r="J53" s="67" t="str">
        <f ca="1">IF(AND('Mapa final'!$Y$40="Muy Baja",'Mapa final'!$AA$40="Leve"),CONCATENATE("R8C",'Mapa final'!$O$40),"")</f>
        <v/>
      </c>
      <c r="K53" s="68" t="str">
        <f>IF(AND('Mapa final'!$Y$41="Muy Baja",'Mapa final'!$AA$41="Leve"),CONCATENATE("R8C",'Mapa final'!$O$41),"")</f>
        <v/>
      </c>
      <c r="L53" s="68" t="str">
        <f>IF(AND('Mapa final'!$Y$42="Muy Baja",'Mapa final'!$AA$42="Leve"),CONCATENATE("R8C",'Mapa final'!$O$42),"")</f>
        <v/>
      </c>
      <c r="M53" s="68" t="str">
        <f>IF(AND('Mapa final'!$Y$43="Muy Baja",'Mapa final'!$AA$43="Leve"),CONCATENATE("R8C",'Mapa final'!$O$43),"")</f>
        <v/>
      </c>
      <c r="N53" s="68" t="str">
        <f>IF(AND('Mapa final'!$Y$44="Muy Baja",'Mapa final'!$AA$44="Leve"),CONCATENATE("R8C",'Mapa final'!$O$44),"")</f>
        <v/>
      </c>
      <c r="O53" s="69" t="str">
        <f>IF(AND('Mapa final'!$Y$45="Muy Baja",'Mapa final'!$AA$45="Leve"),CONCATENATE("R8C",'Mapa final'!$O$45),"")</f>
        <v/>
      </c>
      <c r="P53" s="67" t="str">
        <f ca="1">IF(AND('Mapa final'!$Y$40="Muy Baja",'Mapa final'!$AA$40="Menor"),CONCATENATE("R8C",'Mapa final'!$O$40),"")</f>
        <v/>
      </c>
      <c r="Q53" s="68" t="str">
        <f>IF(AND('Mapa final'!$Y$41="Muy Baja",'Mapa final'!$AA$41="Menor"),CONCATENATE("R8C",'Mapa final'!$O$41),"")</f>
        <v/>
      </c>
      <c r="R53" s="68" t="str">
        <f>IF(AND('Mapa final'!$Y$42="Muy Baja",'Mapa final'!$AA$42="Menor"),CONCATENATE("R8C",'Mapa final'!$O$42),"")</f>
        <v/>
      </c>
      <c r="S53" s="68" t="str">
        <f>IF(AND('Mapa final'!$Y$43="Muy Baja",'Mapa final'!$AA$43="Menor"),CONCATENATE("R8C",'Mapa final'!$O$43),"")</f>
        <v/>
      </c>
      <c r="T53" s="68" t="str">
        <f>IF(AND('Mapa final'!$Y$44="Muy Baja",'Mapa final'!$AA$44="Menor"),CONCATENATE("R8C",'Mapa final'!$O$44),"")</f>
        <v/>
      </c>
      <c r="U53" s="69" t="str">
        <f>IF(AND('Mapa final'!$Y$45="Muy Baja",'Mapa final'!$AA$45="Menor"),CONCATENATE("R8C",'Mapa final'!$O$45),"")</f>
        <v/>
      </c>
      <c r="V53" s="58" t="str">
        <f ca="1">IF(AND('Mapa final'!$Y$40="Muy Baja",'Mapa final'!$AA$40="Moderado"),CONCATENATE("R8C",'Mapa final'!$O$40),"")</f>
        <v/>
      </c>
      <c r="W53" s="59" t="str">
        <f>IF(AND('Mapa final'!$Y$41="Muy Baja",'Mapa final'!$AA$41="Moderado"),CONCATENATE("R8C",'Mapa final'!$O$41),"")</f>
        <v/>
      </c>
      <c r="X53" s="59" t="str">
        <f>IF(AND('Mapa final'!$Y$42="Muy Baja",'Mapa final'!$AA$42="Moderado"),CONCATENATE("R8C",'Mapa final'!$O$42),"")</f>
        <v/>
      </c>
      <c r="Y53" s="59" t="str">
        <f>IF(AND('Mapa final'!$Y$43="Muy Baja",'Mapa final'!$AA$43="Moderado"),CONCATENATE("R8C",'Mapa final'!$O$43),"")</f>
        <v/>
      </c>
      <c r="Z53" s="59" t="str">
        <f>IF(AND('Mapa final'!$Y$44="Muy Baja",'Mapa final'!$AA$44="Moderado"),CONCATENATE("R8C",'Mapa final'!$O$44),"")</f>
        <v/>
      </c>
      <c r="AA53" s="60" t="str">
        <f>IF(AND('Mapa final'!$Y$45="Muy Baja",'Mapa final'!$AA$45="Moderado"),CONCATENATE("R8C",'Mapa final'!$O$45),"")</f>
        <v/>
      </c>
      <c r="AB53" s="43" t="str">
        <f ca="1">IF(AND('Mapa final'!$Y$40="Muy Baja",'Mapa final'!$AA$40="Mayor"),CONCATENATE("R8C",'Mapa final'!$O$40),"")</f>
        <v/>
      </c>
      <c r="AC53" s="44" t="str">
        <f>IF(AND('Mapa final'!$Y$41="Muy Baja",'Mapa final'!$AA$41="Mayor"),CONCATENATE("R8C",'Mapa final'!$O$41),"")</f>
        <v/>
      </c>
      <c r="AD53" s="44" t="str">
        <f>IF(AND('Mapa final'!$Y$42="Muy Baja",'Mapa final'!$AA$42="Mayor"),CONCATENATE("R8C",'Mapa final'!$O$42),"")</f>
        <v/>
      </c>
      <c r="AE53" s="44" t="str">
        <f>IF(AND('Mapa final'!$Y$43="Muy Baja",'Mapa final'!$AA$43="Mayor"),CONCATENATE("R8C",'Mapa final'!$O$43),"")</f>
        <v/>
      </c>
      <c r="AF53" s="44" t="str">
        <f>IF(AND('Mapa final'!$Y$44="Muy Baja",'Mapa final'!$AA$44="Mayor"),CONCATENATE("R8C",'Mapa final'!$O$44),"")</f>
        <v/>
      </c>
      <c r="AG53" s="45" t="str">
        <f>IF(AND('Mapa final'!$Y$45="Muy Baja",'Mapa final'!$AA$45="Mayor"),CONCATENATE("R8C",'Mapa final'!$O$45),"")</f>
        <v/>
      </c>
      <c r="AH53" s="46" t="str">
        <f ca="1">IF(AND('Mapa final'!$Y$40="Muy Baja",'Mapa final'!$AA$40="Catastrófico"),CONCATENATE("R8C",'Mapa final'!$O$40),"")</f>
        <v/>
      </c>
      <c r="AI53" s="47" t="str">
        <f>IF(AND('Mapa final'!$Y$41="Muy Baja",'Mapa final'!$AA$41="Catastrófico"),CONCATENATE("R8C",'Mapa final'!$O$41),"")</f>
        <v/>
      </c>
      <c r="AJ53" s="47" t="str">
        <f>IF(AND('Mapa final'!$Y$42="Muy Baja",'Mapa final'!$AA$42="Catastrófico"),CONCATENATE("R8C",'Mapa final'!$O$42),"")</f>
        <v/>
      </c>
      <c r="AK53" s="47" t="str">
        <f>IF(AND('Mapa final'!$Y$43="Muy Baja",'Mapa final'!$AA$43="Catastrófico"),CONCATENATE("R8C",'Mapa final'!$O$43),"")</f>
        <v/>
      </c>
      <c r="AL53" s="47" t="str">
        <f>IF(AND('Mapa final'!$Y$44="Muy Baja",'Mapa final'!$AA$44="Catastrófico"),CONCATENATE("R8C",'Mapa final'!$O$44),"")</f>
        <v/>
      </c>
      <c r="AM53" s="48" t="str">
        <f>IF(AND('Mapa final'!$Y$45="Muy Baja",'Mapa final'!$AA$45="Catastrófico"),CONCATENATE("R8C",'Mapa final'!$O$45),"")</f>
        <v/>
      </c>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237"/>
      <c r="C54" s="237"/>
      <c r="D54" s="238"/>
      <c r="E54" s="336"/>
      <c r="F54" s="335"/>
      <c r="G54" s="335"/>
      <c r="H54" s="335"/>
      <c r="I54" s="351"/>
      <c r="J54" s="67" t="str">
        <f>IF(AND('Mapa final'!$Y$46="Muy Baja",'Mapa final'!$AA$46="Leve"),CONCATENATE("R9C",'Mapa final'!$O$46),"")</f>
        <v/>
      </c>
      <c r="K54" s="68" t="str">
        <f>IF(AND('Mapa final'!$Y$47="Muy Baja",'Mapa final'!$AA$47="Leve"),CONCATENATE("R9C",'Mapa final'!$O$47),"")</f>
        <v/>
      </c>
      <c r="L54" s="68" t="str">
        <f>IF(AND('Mapa final'!$Y$48="Muy Baja",'Mapa final'!$AA$48="Leve"),CONCATENATE("R9C",'Mapa final'!$O$48),"")</f>
        <v/>
      </c>
      <c r="M54" s="68" t="str">
        <f>IF(AND('Mapa final'!$Y$49="Muy Baja",'Mapa final'!$AA$49="Leve"),CONCATENATE("R9C",'Mapa final'!$O$49),"")</f>
        <v/>
      </c>
      <c r="N54" s="68" t="str">
        <f>IF(AND('Mapa final'!$Y$50="Muy Baja",'Mapa final'!$AA$50="Leve"),CONCATENATE("R9C",'Mapa final'!$O$50),"")</f>
        <v/>
      </c>
      <c r="O54" s="69" t="str">
        <f>IF(AND('Mapa final'!$Y$51="Muy Baja",'Mapa final'!$AA$51="Leve"),CONCATENATE("R9C",'Mapa final'!$O$51),"")</f>
        <v/>
      </c>
      <c r="P54" s="67" t="str">
        <f>IF(AND('Mapa final'!$Y$46="Muy Baja",'Mapa final'!$AA$46="Menor"),CONCATENATE("R9C",'Mapa final'!$O$46),"")</f>
        <v/>
      </c>
      <c r="Q54" s="68" t="str">
        <f>IF(AND('Mapa final'!$Y$47="Muy Baja",'Mapa final'!$AA$47="Menor"),CONCATENATE("R9C",'Mapa final'!$O$47),"")</f>
        <v/>
      </c>
      <c r="R54" s="68" t="str">
        <f>IF(AND('Mapa final'!$Y$48="Muy Baja",'Mapa final'!$AA$48="Menor"),CONCATENATE("R9C",'Mapa final'!$O$48),"")</f>
        <v/>
      </c>
      <c r="S54" s="68" t="str">
        <f>IF(AND('Mapa final'!$Y$49="Muy Baja",'Mapa final'!$AA$49="Menor"),CONCATENATE("R9C",'Mapa final'!$O$49),"")</f>
        <v/>
      </c>
      <c r="T54" s="68" t="str">
        <f>IF(AND('Mapa final'!$Y$50="Muy Baja",'Mapa final'!$AA$50="Menor"),CONCATENATE("R9C",'Mapa final'!$O$50),"")</f>
        <v/>
      </c>
      <c r="U54" s="69" t="str">
        <f>IF(AND('Mapa final'!$Y$51="Muy Baja",'Mapa final'!$AA$51="Menor"),CONCATENATE("R9C",'Mapa final'!$O$51),"")</f>
        <v/>
      </c>
      <c r="V54" s="58" t="str">
        <f>IF(AND('Mapa final'!$Y$46="Muy Baja",'Mapa final'!$AA$46="Moderado"),CONCATENATE("R9C",'Mapa final'!$O$46),"")</f>
        <v/>
      </c>
      <c r="W54" s="59" t="str">
        <f>IF(AND('Mapa final'!$Y$47="Muy Baja",'Mapa final'!$AA$47="Moderado"),CONCATENATE("R9C",'Mapa final'!$O$47),"")</f>
        <v/>
      </c>
      <c r="X54" s="59" t="str">
        <f>IF(AND('Mapa final'!$Y$48="Muy Baja",'Mapa final'!$AA$48="Moderado"),CONCATENATE("R9C",'Mapa final'!$O$48),"")</f>
        <v/>
      </c>
      <c r="Y54" s="59" t="str">
        <f>IF(AND('Mapa final'!$Y$49="Muy Baja",'Mapa final'!$AA$49="Moderado"),CONCATENATE("R9C",'Mapa final'!$O$49),"")</f>
        <v/>
      </c>
      <c r="Z54" s="59" t="str">
        <f>IF(AND('Mapa final'!$Y$50="Muy Baja",'Mapa final'!$AA$50="Moderado"),CONCATENATE("R9C",'Mapa final'!$O$50),"")</f>
        <v/>
      </c>
      <c r="AA54" s="60" t="str">
        <f>IF(AND('Mapa final'!$Y$51="Muy Baja",'Mapa final'!$AA$51="Moderado"),CONCATENATE("R9C",'Mapa final'!$O$51),"")</f>
        <v/>
      </c>
      <c r="AB54" s="43" t="str">
        <f>IF(AND('Mapa final'!$Y$46="Muy Baja",'Mapa final'!$AA$46="Mayor"),CONCATENATE("R9C",'Mapa final'!$O$46),"")</f>
        <v/>
      </c>
      <c r="AC54" s="44" t="str">
        <f>IF(AND('Mapa final'!$Y$47="Muy Baja",'Mapa final'!$AA$47="Mayor"),CONCATENATE("R9C",'Mapa final'!$O$47),"")</f>
        <v/>
      </c>
      <c r="AD54" s="44" t="str">
        <f>IF(AND('Mapa final'!$Y$48="Muy Baja",'Mapa final'!$AA$48="Mayor"),CONCATENATE("R9C",'Mapa final'!$O$48),"")</f>
        <v/>
      </c>
      <c r="AE54" s="44" t="str">
        <f>IF(AND('Mapa final'!$Y$49="Muy Baja",'Mapa final'!$AA$49="Mayor"),CONCATENATE("R9C",'Mapa final'!$O$49),"")</f>
        <v/>
      </c>
      <c r="AF54" s="44" t="str">
        <f>IF(AND('Mapa final'!$Y$50="Muy Baja",'Mapa final'!$AA$50="Mayor"),CONCATENATE("R9C",'Mapa final'!$O$50),"")</f>
        <v/>
      </c>
      <c r="AG54" s="45" t="str">
        <f>IF(AND('Mapa final'!$Y$51="Muy Baja",'Mapa final'!$AA$51="Mayor"),CONCATENATE("R9C",'Mapa final'!$O$51),"")</f>
        <v/>
      </c>
      <c r="AH54" s="46" t="str">
        <f>IF(AND('Mapa final'!$Y$46="Muy Baja",'Mapa final'!$AA$46="Catastrófico"),CONCATENATE("R9C",'Mapa final'!$O$46),"")</f>
        <v/>
      </c>
      <c r="AI54" s="47" t="str">
        <f>IF(AND('Mapa final'!$Y$47="Muy Baja",'Mapa final'!$AA$47="Catastrófico"),CONCATENATE("R9C",'Mapa final'!$O$47),"")</f>
        <v/>
      </c>
      <c r="AJ54" s="47" t="str">
        <f>IF(AND('Mapa final'!$Y$48="Muy Baja",'Mapa final'!$AA$48="Catastrófico"),CONCATENATE("R9C",'Mapa final'!$O$48),"")</f>
        <v/>
      </c>
      <c r="AK54" s="47" t="str">
        <f>IF(AND('Mapa final'!$Y$49="Muy Baja",'Mapa final'!$AA$49="Catastrófico"),CONCATENATE("R9C",'Mapa final'!$O$49),"")</f>
        <v/>
      </c>
      <c r="AL54" s="47" t="str">
        <f>IF(AND('Mapa final'!$Y$50="Muy Baja",'Mapa final'!$AA$50="Catastrófico"),CONCATENATE("R9C",'Mapa final'!$O$50),"")</f>
        <v/>
      </c>
      <c r="AM54" s="48" t="str">
        <f>IF(AND('Mapa final'!$Y$51="Muy Baja",'Mapa final'!$AA$51="Catastrófico"),CONCATENATE("R9C",'Mapa final'!$O$51),"")</f>
        <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ht="15.75" customHeight="1" thickBot="1" x14ac:dyDescent="0.3">
      <c r="A55" s="74"/>
      <c r="B55" s="237"/>
      <c r="C55" s="237"/>
      <c r="D55" s="238"/>
      <c r="E55" s="337"/>
      <c r="F55" s="338"/>
      <c r="G55" s="338"/>
      <c r="H55" s="338"/>
      <c r="I55" s="352"/>
      <c r="J55" s="70" t="str">
        <f>IF(AND('Mapa final'!$Y$52="Muy Baja",'Mapa final'!$AA$52="Leve"),CONCATENATE("R10C",'Mapa final'!$O$52),"")</f>
        <v/>
      </c>
      <c r="K55" s="71" t="str">
        <f>IF(AND('Mapa final'!$Y$53="Muy Baja",'Mapa final'!$AA$53="Leve"),CONCATENATE("R10C",'Mapa final'!$O$53),"")</f>
        <v/>
      </c>
      <c r="L55" s="71" t="str">
        <f>IF(AND('Mapa final'!$Y$54="Muy Baja",'Mapa final'!$AA$54="Leve"),CONCATENATE("R10C",'Mapa final'!$O$54),"")</f>
        <v/>
      </c>
      <c r="M55" s="71" t="str">
        <f>IF(AND('Mapa final'!$Y$55="Muy Baja",'Mapa final'!$AA$55="Leve"),CONCATENATE("R10C",'Mapa final'!$O$55),"")</f>
        <v/>
      </c>
      <c r="N55" s="71" t="str">
        <f>IF(AND('Mapa final'!$Y$56="Muy Baja",'Mapa final'!$AA$56="Leve"),CONCATENATE("R10C",'Mapa final'!$O$56),"")</f>
        <v/>
      </c>
      <c r="O55" s="72" t="str">
        <f>IF(AND('Mapa final'!$Y$57="Muy Baja",'Mapa final'!$AA$57="Leve"),CONCATENATE("R10C",'Mapa final'!$O$57),"")</f>
        <v/>
      </c>
      <c r="P55" s="70" t="str">
        <f>IF(AND('Mapa final'!$Y$52="Muy Baja",'Mapa final'!$AA$52="Menor"),CONCATENATE("R10C",'Mapa final'!$O$52),"")</f>
        <v/>
      </c>
      <c r="Q55" s="71" t="str">
        <f>IF(AND('Mapa final'!$Y$53="Muy Baja",'Mapa final'!$AA$53="Menor"),CONCATENATE("R10C",'Mapa final'!$O$53),"")</f>
        <v/>
      </c>
      <c r="R55" s="71" t="str">
        <f>IF(AND('Mapa final'!$Y$54="Muy Baja",'Mapa final'!$AA$54="Menor"),CONCATENATE("R10C",'Mapa final'!$O$54),"")</f>
        <v/>
      </c>
      <c r="S55" s="71" t="str">
        <f>IF(AND('Mapa final'!$Y$55="Muy Baja",'Mapa final'!$AA$55="Menor"),CONCATENATE("R10C",'Mapa final'!$O$55),"")</f>
        <v/>
      </c>
      <c r="T55" s="71" t="str">
        <f>IF(AND('Mapa final'!$Y$56="Muy Baja",'Mapa final'!$AA$56="Menor"),CONCATENATE("R10C",'Mapa final'!$O$56),"")</f>
        <v/>
      </c>
      <c r="U55" s="72" t="str">
        <f>IF(AND('Mapa final'!$Y$57="Muy Baja",'Mapa final'!$AA$57="Menor"),CONCATENATE("R10C",'Mapa final'!$O$57),"")</f>
        <v/>
      </c>
      <c r="V55" s="61" t="str">
        <f>IF(AND('Mapa final'!$Y$52="Muy Baja",'Mapa final'!$AA$52="Moderado"),CONCATENATE("R10C",'Mapa final'!$O$52),"")</f>
        <v/>
      </c>
      <c r="W55" s="62" t="str">
        <f>IF(AND('Mapa final'!$Y$53="Muy Baja",'Mapa final'!$AA$53="Moderado"),CONCATENATE("R10C",'Mapa final'!$O$53),"")</f>
        <v/>
      </c>
      <c r="X55" s="62" t="str">
        <f>IF(AND('Mapa final'!$Y$54="Muy Baja",'Mapa final'!$AA$54="Moderado"),CONCATENATE("R10C",'Mapa final'!$O$54),"")</f>
        <v/>
      </c>
      <c r="Y55" s="62" t="str">
        <f>IF(AND('Mapa final'!$Y$55="Muy Baja",'Mapa final'!$AA$55="Moderado"),CONCATENATE("R10C",'Mapa final'!$O$55),"")</f>
        <v/>
      </c>
      <c r="Z55" s="62" t="str">
        <f>IF(AND('Mapa final'!$Y$56="Muy Baja",'Mapa final'!$AA$56="Moderado"),CONCATENATE("R10C",'Mapa final'!$O$56),"")</f>
        <v/>
      </c>
      <c r="AA55" s="63" t="str">
        <f>IF(AND('Mapa final'!$Y$57="Muy Baja",'Mapa final'!$AA$57="Moderado"),CONCATENATE("R10C",'Mapa final'!$O$57),"")</f>
        <v/>
      </c>
      <c r="AB55" s="49" t="str">
        <f>IF(AND('Mapa final'!$Y$52="Muy Baja",'Mapa final'!$AA$52="Mayor"),CONCATENATE("R10C",'Mapa final'!$O$52),"")</f>
        <v/>
      </c>
      <c r="AC55" s="50" t="str">
        <f>IF(AND('Mapa final'!$Y$53="Muy Baja",'Mapa final'!$AA$53="Mayor"),CONCATENATE("R10C",'Mapa final'!$O$53),"")</f>
        <v/>
      </c>
      <c r="AD55" s="50" t="str">
        <f>IF(AND('Mapa final'!$Y$54="Muy Baja",'Mapa final'!$AA$54="Mayor"),CONCATENATE("R10C",'Mapa final'!$O$54),"")</f>
        <v/>
      </c>
      <c r="AE55" s="50" t="str">
        <f>IF(AND('Mapa final'!$Y$55="Muy Baja",'Mapa final'!$AA$55="Mayor"),CONCATENATE("R10C",'Mapa final'!$O$55),"")</f>
        <v/>
      </c>
      <c r="AF55" s="50" t="str">
        <f>IF(AND('Mapa final'!$Y$56="Muy Baja",'Mapa final'!$AA$56="Mayor"),CONCATENATE("R10C",'Mapa final'!$O$56),"")</f>
        <v/>
      </c>
      <c r="AG55" s="51" t="str">
        <f>IF(AND('Mapa final'!$Y$57="Muy Baja",'Mapa final'!$AA$57="Mayor"),CONCATENATE("R10C",'Mapa final'!$O$57),"")</f>
        <v/>
      </c>
      <c r="AH55" s="52" t="str">
        <f>IF(AND('Mapa final'!$Y$52="Muy Baja",'Mapa final'!$AA$52="Catastrófico"),CONCATENATE("R10C",'Mapa final'!$O$52),"")</f>
        <v/>
      </c>
      <c r="AI55" s="53" t="str">
        <f>IF(AND('Mapa final'!$Y$53="Muy Baja",'Mapa final'!$AA$53="Catastrófico"),CONCATENATE("R10C",'Mapa final'!$O$53),"")</f>
        <v/>
      </c>
      <c r="AJ55" s="53" t="str">
        <f>IF(AND('Mapa final'!$Y$54="Muy Baja",'Mapa final'!$AA$54="Catastrófico"),CONCATENATE("R10C",'Mapa final'!$O$54),"")</f>
        <v/>
      </c>
      <c r="AK55" s="53" t="str">
        <f>IF(AND('Mapa final'!$Y$55="Muy Baja",'Mapa final'!$AA$55="Catastrófico"),CONCATENATE("R10C",'Mapa final'!$O$55),"")</f>
        <v/>
      </c>
      <c r="AL55" s="53" t="str">
        <f>IF(AND('Mapa final'!$Y$56="Muy Baja",'Mapa final'!$AA$56="Catastrófico"),CONCATENATE("R10C",'Mapa final'!$O$56),"")</f>
        <v/>
      </c>
      <c r="AM55" s="54" t="str">
        <f>IF(AND('Mapa final'!$Y$57="Muy Baja",'Mapa final'!$AA$57="Catastrófico"),CONCATENATE("R10C",'Mapa final'!$O$57),"")</f>
        <v/>
      </c>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332" t="s">
        <v>110</v>
      </c>
      <c r="K56" s="333"/>
      <c r="L56" s="333"/>
      <c r="M56" s="333"/>
      <c r="N56" s="333"/>
      <c r="O56" s="350"/>
      <c r="P56" s="332" t="s">
        <v>109</v>
      </c>
      <c r="Q56" s="333"/>
      <c r="R56" s="333"/>
      <c r="S56" s="333"/>
      <c r="T56" s="333"/>
      <c r="U56" s="350"/>
      <c r="V56" s="332" t="s">
        <v>108</v>
      </c>
      <c r="W56" s="333"/>
      <c r="X56" s="333"/>
      <c r="Y56" s="333"/>
      <c r="Z56" s="333"/>
      <c r="AA56" s="350"/>
      <c r="AB56" s="332" t="s">
        <v>107</v>
      </c>
      <c r="AC56" s="371"/>
      <c r="AD56" s="333"/>
      <c r="AE56" s="333"/>
      <c r="AF56" s="333"/>
      <c r="AG56" s="350"/>
      <c r="AH56" s="332" t="s">
        <v>106</v>
      </c>
      <c r="AI56" s="333"/>
      <c r="AJ56" s="333"/>
      <c r="AK56" s="333"/>
      <c r="AL56" s="333"/>
      <c r="AM56" s="350"/>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ht="15.75" thickBot="1" x14ac:dyDescent="0.3">
      <c r="A61" s="74"/>
      <c r="B61" s="74"/>
      <c r="C61" s="74"/>
      <c r="D61" s="74"/>
      <c r="E61" s="74"/>
      <c r="F61" s="74"/>
      <c r="G61" s="74"/>
      <c r="H61" s="74"/>
      <c r="I61" s="74"/>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80" ht="15" customHeight="1" x14ac:dyDescent="0.25">
      <c r="A63" s="74"/>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4"/>
      <c r="AV63" s="74"/>
      <c r="AW63" s="74"/>
      <c r="AX63" s="74"/>
      <c r="AY63" s="74"/>
      <c r="AZ63" s="74"/>
      <c r="BA63" s="74"/>
      <c r="BB63" s="74"/>
      <c r="BC63" s="74"/>
      <c r="BD63" s="74"/>
      <c r="BE63" s="74"/>
      <c r="BF63" s="74"/>
      <c r="BG63" s="74"/>
      <c r="BH63" s="74"/>
    </row>
    <row r="64" spans="1:80" ht="15" customHeight="1" x14ac:dyDescent="0.25">
      <c r="A64" s="74"/>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4"/>
      <c r="AV64" s="74"/>
      <c r="AW64" s="74"/>
      <c r="AX64" s="74"/>
      <c r="AY64" s="74"/>
      <c r="AZ64" s="74"/>
      <c r="BA64" s="74"/>
      <c r="BB64" s="74"/>
      <c r="BC64" s="74"/>
      <c r="BD64" s="74"/>
      <c r="BE64" s="74"/>
      <c r="BF64" s="74"/>
      <c r="BG64" s="74"/>
      <c r="BH64" s="74"/>
    </row>
    <row r="65" spans="1:6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1:6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1:6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1:6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1:6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1:6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1:6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1:6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1:6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1:6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1:6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1:6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1:6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1:6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79" spans="1:6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row>
    <row r="80" spans="1:6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row>
    <row r="81" spans="1:60"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row>
    <row r="82" spans="1:60"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row>
    <row r="83" spans="1:60"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1:60"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1:60"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1:60"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1:60"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60"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1:60"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1:60"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1:60"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1:60"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1:60"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1:6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1:60"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1:60"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1:60"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1:60"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1:60"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1:60"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1:60"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1:60"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1:60"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1:60"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1:60"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1:60"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1:60"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1:60"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1:60"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1:60"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1:60"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1:60"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1:60"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1:60"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1:60"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1:60"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1:60"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1:60"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1:60"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1:60"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1:60"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1:60"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1:60"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1:60"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1:60"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1:60"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1:60"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1:60"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60"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1:60"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1:60"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1:60"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1:60"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row>
    <row r="134" spans="1:60"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row>
    <row r="135" spans="1:60"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row>
    <row r="136" spans="1:60"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row>
    <row r="137" spans="1:60"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row>
    <row r="138" spans="1:60"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row>
    <row r="139" spans="1:60"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row>
    <row r="140" spans="1:60"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row>
    <row r="141" spans="1:60"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row>
    <row r="142" spans="1:60"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row>
    <row r="143" spans="1:60"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row>
    <row r="144" spans="1:60"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row>
    <row r="145" spans="1:60"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row>
    <row r="146" spans="1:60"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row>
    <row r="147" spans="1:60"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row>
    <row r="148" spans="1:60"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row>
    <row r="149" spans="1:60"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row>
    <row r="150" spans="1:60"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row>
    <row r="151" spans="1:60"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row>
    <row r="152" spans="1:60"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row>
    <row r="153" spans="1:60"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row>
    <row r="154" spans="1:60"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row>
    <row r="155" spans="1:60"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row>
    <row r="156" spans="1:60"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row>
    <row r="157" spans="1:60"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row>
    <row r="158" spans="1:60"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row>
    <row r="159" spans="1:60"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row>
    <row r="160" spans="1:60"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row>
    <row r="161" spans="1:60"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row>
    <row r="162" spans="1:60"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row>
    <row r="163" spans="1:60"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row>
    <row r="164" spans="1:60"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row>
    <row r="165" spans="1:60"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row>
    <row r="166" spans="1:60"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row>
    <row r="167" spans="1:60"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row>
    <row r="168" spans="1:60"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row>
    <row r="169" spans="1:60"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row>
    <row r="170" spans="1:60"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row>
    <row r="171" spans="1:60"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row>
    <row r="172" spans="1:60"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row>
    <row r="173" spans="1:60"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row>
    <row r="174" spans="1:60"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row>
    <row r="175" spans="1:60"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row>
    <row r="176" spans="1:60"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row>
    <row r="177" spans="1:60"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row>
    <row r="178" spans="1:60"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row>
    <row r="179" spans="1:60"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row>
    <row r="180" spans="1:60"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row>
    <row r="181" spans="1:60"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row>
    <row r="182" spans="1:60"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row>
    <row r="183" spans="1:60"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row>
    <row r="184" spans="1:60"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row>
    <row r="185" spans="1:60"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row>
    <row r="186" spans="1:60"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row>
    <row r="187" spans="1:60"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row>
    <row r="188" spans="1:60"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row>
    <row r="189" spans="1:60"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row>
    <row r="190" spans="1:60"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row>
    <row r="191" spans="1:60" x14ac:dyDescent="0.25">
      <c r="A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row>
    <row r="192" spans="1:60" x14ac:dyDescent="0.25">
      <c r="A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row>
    <row r="193" spans="1:60" x14ac:dyDescent="0.25">
      <c r="A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row>
    <row r="194" spans="1:60" x14ac:dyDescent="0.25">
      <c r="A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row>
    <row r="195" spans="1:60" x14ac:dyDescent="0.25">
      <c r="A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row>
    <row r="196" spans="1:60" x14ac:dyDescent="0.25">
      <c r="A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row>
    <row r="197" spans="1:60" x14ac:dyDescent="0.25">
      <c r="A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row>
    <row r="198" spans="1:60" x14ac:dyDescent="0.25">
      <c r="A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row>
    <row r="199" spans="1:60" x14ac:dyDescent="0.25">
      <c r="A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row>
    <row r="200" spans="1:60" x14ac:dyDescent="0.25">
      <c r="A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row>
    <row r="201" spans="1:60" x14ac:dyDescent="0.25">
      <c r="A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row>
    <row r="202" spans="1:60" x14ac:dyDescent="0.25">
      <c r="A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row>
    <row r="203" spans="1:60" x14ac:dyDescent="0.25">
      <c r="A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row>
    <row r="204" spans="1:60" x14ac:dyDescent="0.25">
      <c r="A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row>
    <row r="205" spans="1:60" x14ac:dyDescent="0.25">
      <c r="A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row>
    <row r="206" spans="1:60" x14ac:dyDescent="0.25">
      <c r="A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x14ac:dyDescent="0.25">
      <c r="A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x14ac:dyDescent="0.25">
      <c r="A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x14ac:dyDescent="0.25">
      <c r="A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x14ac:dyDescent="0.25">
      <c r="A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x14ac:dyDescent="0.25">
      <c r="A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x14ac:dyDescent="0.25">
      <c r="A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x14ac:dyDescent="0.25">
      <c r="A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x14ac:dyDescent="0.25">
      <c r="A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x14ac:dyDescent="0.25">
      <c r="A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x14ac:dyDescent="0.25">
      <c r="A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x14ac:dyDescent="0.25">
      <c r="A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x14ac:dyDescent="0.25">
      <c r="A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x14ac:dyDescent="0.25">
      <c r="A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x14ac:dyDescent="0.25">
      <c r="A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x14ac:dyDescent="0.25">
      <c r="A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x14ac:dyDescent="0.25">
      <c r="A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x14ac:dyDescent="0.25">
      <c r="A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x14ac:dyDescent="0.25">
      <c r="A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x14ac:dyDescent="0.25">
      <c r="A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x14ac:dyDescent="0.25">
      <c r="A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x14ac:dyDescent="0.25">
      <c r="A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x14ac:dyDescent="0.25">
      <c r="A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x14ac:dyDescent="0.25">
      <c r="A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x14ac:dyDescent="0.25">
      <c r="A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x14ac:dyDescent="0.25">
      <c r="A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x14ac:dyDescent="0.25">
      <c r="A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x14ac:dyDescent="0.25">
      <c r="A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x14ac:dyDescent="0.25">
      <c r="A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x14ac:dyDescent="0.25">
      <c r="A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x14ac:dyDescent="0.25">
      <c r="A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x14ac:dyDescent="0.25">
      <c r="A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x14ac:dyDescent="0.25">
      <c r="A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x14ac:dyDescent="0.25">
      <c r="A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x14ac:dyDescent="0.25">
      <c r="A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x14ac:dyDescent="0.25">
      <c r="A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x14ac:dyDescent="0.25">
      <c r="A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x14ac:dyDescent="0.25">
      <c r="A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x14ac:dyDescent="0.25">
      <c r="A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x14ac:dyDescent="0.25">
      <c r="A245" s="74"/>
    </row>
    <row r="246" spans="1:60" x14ac:dyDescent="0.25">
      <c r="A246" s="74"/>
    </row>
    <row r="247" spans="1:60" x14ac:dyDescent="0.25">
      <c r="A247" s="74"/>
    </row>
    <row r="248" spans="1:60" x14ac:dyDescent="0.25">
      <c r="A248" s="7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4" zoomScale="90"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4"/>
      <c r="B1" s="372" t="s">
        <v>55</v>
      </c>
      <c r="C1" s="372"/>
      <c r="D1" s="372"/>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7" ht="15.75" thickBot="1" x14ac:dyDescent="0.3">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7" ht="26.25" thickBot="1" x14ac:dyDescent="0.3">
      <c r="A3" s="74"/>
      <c r="B3" s="10"/>
      <c r="C3" s="114" t="s">
        <v>52</v>
      </c>
      <c r="D3" s="115" t="s">
        <v>4</v>
      </c>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7" ht="51" x14ac:dyDescent="0.25">
      <c r="A4" s="74"/>
      <c r="B4" s="122" t="s">
        <v>51</v>
      </c>
      <c r="C4" s="119" t="s">
        <v>212</v>
      </c>
      <c r="D4" s="116">
        <v>0.2</v>
      </c>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7" ht="51" x14ac:dyDescent="0.25">
      <c r="A5" s="74"/>
      <c r="B5" s="123" t="s">
        <v>53</v>
      </c>
      <c r="C5" s="120" t="s">
        <v>213</v>
      </c>
      <c r="D5" s="117">
        <v>0.4</v>
      </c>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ht="51" x14ac:dyDescent="0.25">
      <c r="A6" s="74"/>
      <c r="B6" s="124" t="s">
        <v>105</v>
      </c>
      <c r="C6" s="120" t="s">
        <v>102</v>
      </c>
      <c r="D6" s="117">
        <v>0.6</v>
      </c>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76.5" x14ac:dyDescent="0.25">
      <c r="A7" s="74"/>
      <c r="B7" s="125" t="s">
        <v>6</v>
      </c>
      <c r="C7" s="120" t="s">
        <v>103</v>
      </c>
      <c r="D7" s="117">
        <v>0.8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51.75" thickBot="1" x14ac:dyDescent="0.3">
      <c r="A8" s="74"/>
      <c r="B8" s="126" t="s">
        <v>54</v>
      </c>
      <c r="C8" s="121" t="s">
        <v>104</v>
      </c>
      <c r="D8" s="118">
        <v>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x14ac:dyDescent="0.25">
      <c r="A9" s="74"/>
      <c r="B9" s="98"/>
      <c r="C9" s="98"/>
      <c r="D9" s="98"/>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row>
    <row r="10" spans="1:37" ht="16.5" x14ac:dyDescent="0.25">
      <c r="A10" s="74"/>
      <c r="B10" s="99"/>
      <c r="C10" s="98"/>
      <c r="D10" s="98"/>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37" x14ac:dyDescent="0.25">
      <c r="A11" s="74"/>
      <c r="B11" s="98"/>
      <c r="C11" s="98"/>
      <c r="D11" s="98"/>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1:37" x14ac:dyDescent="0.25">
      <c r="A12" s="74"/>
      <c r="B12" s="98"/>
      <c r="C12" s="98"/>
      <c r="D12" s="98"/>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row>
    <row r="13" spans="1:37" x14ac:dyDescent="0.25">
      <c r="A13" s="74"/>
      <c r="B13" s="98"/>
      <c r="C13" s="98"/>
      <c r="D13" s="98"/>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x14ac:dyDescent="0.25">
      <c r="A14" s="74"/>
      <c r="B14" s="98"/>
      <c r="C14" s="98"/>
      <c r="D14" s="98"/>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5">
      <c r="A15" s="74"/>
      <c r="B15" s="98"/>
      <c r="C15" s="98"/>
      <c r="D15" s="98"/>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5">
      <c r="A16" s="74"/>
      <c r="B16" s="98"/>
      <c r="C16" s="98"/>
      <c r="D16" s="98"/>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5">
      <c r="A17" s="74"/>
      <c r="B17" s="98"/>
      <c r="C17" s="98"/>
      <c r="D17" s="98"/>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5">
      <c r="A18" s="74"/>
      <c r="B18" s="98"/>
      <c r="C18" s="98"/>
      <c r="D18" s="98"/>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1" x14ac:dyDescent="0.25">
      <c r="A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pans="1:31" x14ac:dyDescent="0.25">
      <c r="A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x14ac:dyDescent="0.25">
      <c r="A35" s="74"/>
    </row>
    <row r="36" spans="1:31" x14ac:dyDescent="0.25">
      <c r="A36" s="74"/>
    </row>
    <row r="37" spans="1:31" x14ac:dyDescent="0.25">
      <c r="A37" s="74"/>
    </row>
    <row r="38" spans="1:31" x14ac:dyDescent="0.25">
      <c r="A38" s="74"/>
    </row>
    <row r="39" spans="1:31" x14ac:dyDescent="0.25">
      <c r="A39" s="74"/>
    </row>
    <row r="40" spans="1:31" x14ac:dyDescent="0.25">
      <c r="A40" s="74"/>
    </row>
    <row r="41" spans="1:31" x14ac:dyDescent="0.25">
      <c r="A41" s="74"/>
    </row>
    <row r="42" spans="1:31" x14ac:dyDescent="0.25">
      <c r="A42" s="74"/>
    </row>
    <row r="43" spans="1:31" x14ac:dyDescent="0.25">
      <c r="A43" s="74"/>
    </row>
    <row r="44" spans="1:31" x14ac:dyDescent="0.25">
      <c r="A44" s="74"/>
    </row>
    <row r="45" spans="1:31" x14ac:dyDescent="0.25">
      <c r="A45" s="74"/>
    </row>
    <row r="46" spans="1:31" x14ac:dyDescent="0.25">
      <c r="A46" s="74"/>
    </row>
    <row r="47" spans="1:31" x14ac:dyDescent="0.25">
      <c r="A47" s="74"/>
    </row>
    <row r="48" spans="1:3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2" customWidth="1"/>
    <col min="3" max="3" width="61.85546875" customWidth="1"/>
    <col min="4" max="4" width="110.85546875" customWidth="1"/>
    <col min="5" max="5" width="144.7109375" bestFit="1" customWidth="1"/>
  </cols>
  <sheetData>
    <row r="1" spans="1:21" ht="33.75" x14ac:dyDescent="0.25">
      <c r="A1" s="74"/>
      <c r="B1" s="373" t="s">
        <v>63</v>
      </c>
      <c r="C1" s="373"/>
      <c r="D1" s="373"/>
      <c r="E1" s="74"/>
      <c r="F1" s="74"/>
      <c r="G1" s="74"/>
      <c r="H1" s="74"/>
      <c r="I1" s="74"/>
      <c r="J1" s="74"/>
      <c r="K1" s="74"/>
      <c r="L1" s="74"/>
      <c r="M1" s="74"/>
      <c r="N1" s="74"/>
      <c r="O1" s="74"/>
      <c r="P1" s="74"/>
      <c r="Q1" s="74"/>
      <c r="R1" s="74"/>
      <c r="S1" s="74"/>
      <c r="T1" s="74"/>
      <c r="U1" s="74"/>
    </row>
    <row r="2" spans="1:21" ht="15.75" thickBot="1" x14ac:dyDescent="0.3">
      <c r="A2" s="74"/>
      <c r="B2" s="74"/>
      <c r="C2" s="74"/>
      <c r="D2" s="74"/>
      <c r="E2" s="74"/>
      <c r="F2" s="74"/>
      <c r="G2" s="74"/>
      <c r="H2" s="74"/>
      <c r="I2" s="74"/>
      <c r="J2" s="74"/>
      <c r="K2" s="74"/>
      <c r="L2" s="74"/>
      <c r="M2" s="74"/>
      <c r="N2" s="74"/>
      <c r="O2" s="74"/>
      <c r="P2" s="74"/>
      <c r="Q2" s="74"/>
      <c r="R2" s="74"/>
      <c r="S2" s="74"/>
      <c r="T2" s="74"/>
      <c r="U2" s="74"/>
    </row>
    <row r="3" spans="1:21" ht="60.75" thickBot="1" x14ac:dyDescent="0.3">
      <c r="A3" s="74"/>
      <c r="B3" s="95"/>
      <c r="C3" s="138" t="s">
        <v>56</v>
      </c>
      <c r="D3" s="138" t="s">
        <v>57</v>
      </c>
      <c r="E3" s="74"/>
      <c r="F3" s="74"/>
      <c r="G3" s="74"/>
      <c r="H3" s="74"/>
      <c r="I3" s="74"/>
      <c r="J3" s="74"/>
      <c r="K3" s="74"/>
      <c r="L3" s="74"/>
      <c r="M3" s="74"/>
      <c r="N3" s="74"/>
      <c r="O3" s="74"/>
      <c r="P3" s="74"/>
      <c r="Q3" s="74"/>
      <c r="R3" s="74"/>
      <c r="S3" s="74"/>
      <c r="T3" s="74"/>
      <c r="U3" s="74"/>
    </row>
    <row r="4" spans="1:21" ht="44.1" customHeight="1" x14ac:dyDescent="0.25">
      <c r="A4" s="94" t="s">
        <v>83</v>
      </c>
      <c r="B4" s="127" t="s">
        <v>101</v>
      </c>
      <c r="C4" s="136" t="s">
        <v>156</v>
      </c>
      <c r="D4" s="137" t="s">
        <v>97</v>
      </c>
      <c r="E4" s="74"/>
      <c r="F4" s="74"/>
      <c r="G4" s="74"/>
      <c r="H4" s="74"/>
      <c r="I4" s="74"/>
      <c r="J4" s="74"/>
      <c r="K4" s="74"/>
      <c r="L4" s="74"/>
      <c r="M4" s="74"/>
      <c r="N4" s="74"/>
      <c r="O4" s="74"/>
      <c r="P4" s="74"/>
      <c r="Q4" s="74"/>
      <c r="R4" s="74"/>
      <c r="S4" s="74"/>
      <c r="T4" s="74"/>
      <c r="U4" s="74"/>
    </row>
    <row r="5" spans="1:21" ht="101.25" x14ac:dyDescent="0.25">
      <c r="A5" s="94" t="s">
        <v>84</v>
      </c>
      <c r="B5" s="128" t="s">
        <v>59</v>
      </c>
      <c r="C5" s="132" t="s">
        <v>214</v>
      </c>
      <c r="D5" s="134" t="s">
        <v>98</v>
      </c>
      <c r="E5" s="74"/>
      <c r="F5" s="74"/>
      <c r="G5" s="74"/>
      <c r="H5" s="74"/>
      <c r="I5" s="74"/>
      <c r="J5" s="74"/>
      <c r="K5" s="74"/>
      <c r="L5" s="74"/>
      <c r="M5" s="74"/>
      <c r="N5" s="74"/>
      <c r="O5" s="74"/>
      <c r="P5" s="74"/>
      <c r="Q5" s="74"/>
      <c r="R5" s="74"/>
      <c r="S5" s="74"/>
      <c r="T5" s="74"/>
      <c r="U5" s="74"/>
    </row>
    <row r="6" spans="1:21" ht="67.5" x14ac:dyDescent="0.25">
      <c r="A6" s="94" t="s">
        <v>81</v>
      </c>
      <c r="B6" s="129" t="s">
        <v>60</v>
      </c>
      <c r="C6" s="132" t="s">
        <v>94</v>
      </c>
      <c r="D6" s="134" t="s">
        <v>100</v>
      </c>
      <c r="E6" s="74"/>
      <c r="F6" s="74"/>
      <c r="G6" s="74"/>
      <c r="H6" s="74"/>
      <c r="I6" s="74"/>
      <c r="J6" s="74"/>
      <c r="K6" s="74"/>
      <c r="L6" s="74"/>
      <c r="M6" s="74"/>
      <c r="N6" s="74"/>
      <c r="O6" s="74"/>
      <c r="P6" s="74"/>
      <c r="Q6" s="74"/>
      <c r="R6" s="74"/>
      <c r="S6" s="74"/>
      <c r="T6" s="74"/>
      <c r="U6" s="74"/>
    </row>
    <row r="7" spans="1:21" ht="101.25" x14ac:dyDescent="0.25">
      <c r="A7" s="94" t="s">
        <v>7</v>
      </c>
      <c r="B7" s="130" t="s">
        <v>61</v>
      </c>
      <c r="C7" s="132" t="s">
        <v>95</v>
      </c>
      <c r="D7" s="134" t="s">
        <v>99</v>
      </c>
      <c r="E7" s="74"/>
      <c r="F7" s="74"/>
      <c r="G7" s="74"/>
      <c r="H7" s="74"/>
      <c r="I7" s="74"/>
      <c r="J7" s="74"/>
      <c r="K7" s="74"/>
      <c r="L7" s="74"/>
      <c r="M7" s="74"/>
      <c r="N7" s="74"/>
      <c r="O7" s="74"/>
      <c r="P7" s="74"/>
      <c r="Q7" s="74"/>
      <c r="R7" s="74"/>
      <c r="S7" s="74"/>
      <c r="T7" s="74"/>
      <c r="U7" s="74"/>
    </row>
    <row r="8" spans="1:21" ht="68.25" thickBot="1" x14ac:dyDescent="0.3">
      <c r="A8" s="94" t="s">
        <v>85</v>
      </c>
      <c r="B8" s="131" t="s">
        <v>62</v>
      </c>
      <c r="C8" s="133" t="s">
        <v>96</v>
      </c>
      <c r="D8" s="135" t="s">
        <v>116</v>
      </c>
      <c r="E8" s="74"/>
      <c r="F8" s="74"/>
      <c r="G8" s="74"/>
      <c r="H8" s="74"/>
      <c r="I8" s="74"/>
      <c r="J8" s="74"/>
      <c r="K8" s="74"/>
      <c r="L8" s="74"/>
      <c r="M8" s="74"/>
      <c r="N8" s="74"/>
      <c r="O8" s="74"/>
      <c r="P8" s="74"/>
      <c r="Q8" s="74"/>
      <c r="R8" s="74"/>
      <c r="S8" s="74"/>
      <c r="T8" s="74"/>
      <c r="U8" s="74"/>
    </row>
    <row r="9" spans="1:21" ht="20.25" x14ac:dyDescent="0.25">
      <c r="A9" s="94"/>
      <c r="B9" s="94"/>
      <c r="C9" s="96"/>
      <c r="D9" s="96"/>
      <c r="E9" s="74"/>
      <c r="F9" s="74"/>
      <c r="G9" s="74"/>
      <c r="H9" s="74"/>
      <c r="I9" s="74"/>
      <c r="J9" s="74"/>
      <c r="K9" s="74"/>
      <c r="L9" s="74"/>
      <c r="M9" s="74"/>
      <c r="N9" s="74"/>
      <c r="O9" s="74"/>
      <c r="P9" s="74"/>
      <c r="Q9" s="74"/>
      <c r="R9" s="74"/>
      <c r="S9" s="74"/>
      <c r="T9" s="74"/>
      <c r="U9" s="74"/>
    </row>
    <row r="10" spans="1:21" ht="16.5" x14ac:dyDescent="0.25">
      <c r="A10" s="94"/>
      <c r="B10" s="97"/>
      <c r="C10" s="97"/>
      <c r="D10" s="97"/>
      <c r="E10" s="74"/>
      <c r="F10" s="74"/>
      <c r="G10" s="74"/>
      <c r="H10" s="74"/>
      <c r="I10" s="74"/>
      <c r="J10" s="74"/>
      <c r="K10" s="74"/>
      <c r="L10" s="74"/>
      <c r="M10" s="74"/>
      <c r="N10" s="74"/>
      <c r="O10" s="74"/>
      <c r="P10" s="74"/>
      <c r="Q10" s="74"/>
      <c r="R10" s="74"/>
      <c r="S10" s="74"/>
      <c r="T10" s="74"/>
      <c r="U10" s="74"/>
    </row>
    <row r="11" spans="1:21" x14ac:dyDescent="0.25">
      <c r="A11" s="94"/>
      <c r="B11" s="94" t="s">
        <v>91</v>
      </c>
      <c r="C11" s="94" t="s">
        <v>144</v>
      </c>
      <c r="D11" s="94" t="s">
        <v>151</v>
      </c>
      <c r="E11" s="74"/>
      <c r="F11" s="74"/>
      <c r="G11" s="74"/>
      <c r="H11" s="74"/>
      <c r="I11" s="74"/>
      <c r="J11" s="74"/>
      <c r="K11" s="74"/>
      <c r="L11" s="74"/>
      <c r="M11" s="74"/>
      <c r="N11" s="74"/>
      <c r="O11" s="74"/>
      <c r="P11" s="74"/>
      <c r="Q11" s="74"/>
      <c r="R11" s="74"/>
      <c r="S11" s="74"/>
      <c r="T11" s="74"/>
      <c r="U11" s="74"/>
    </row>
    <row r="12" spans="1:21" x14ac:dyDescent="0.25">
      <c r="A12" s="94"/>
      <c r="B12" s="94" t="s">
        <v>89</v>
      </c>
      <c r="C12" s="94" t="s">
        <v>148</v>
      </c>
      <c r="D12" s="94" t="s">
        <v>152</v>
      </c>
      <c r="E12" s="74"/>
      <c r="F12" s="74"/>
      <c r="G12" s="74"/>
      <c r="H12" s="74"/>
      <c r="I12" s="74"/>
      <c r="J12" s="74"/>
      <c r="K12" s="74"/>
      <c r="L12" s="74"/>
      <c r="M12" s="74"/>
      <c r="N12" s="74"/>
      <c r="O12" s="74"/>
      <c r="P12" s="74"/>
      <c r="Q12" s="74"/>
      <c r="R12" s="74"/>
      <c r="S12" s="74"/>
      <c r="T12" s="74"/>
      <c r="U12" s="74"/>
    </row>
    <row r="13" spans="1:21" x14ac:dyDescent="0.25">
      <c r="A13" s="94"/>
      <c r="B13" s="94"/>
      <c r="C13" s="94" t="s">
        <v>147</v>
      </c>
      <c r="D13" s="94" t="s">
        <v>153</v>
      </c>
      <c r="E13" s="74"/>
      <c r="F13" s="74"/>
      <c r="G13" s="74"/>
      <c r="H13" s="74"/>
      <c r="I13" s="74"/>
      <c r="J13" s="74"/>
      <c r="K13" s="74"/>
      <c r="L13" s="74"/>
      <c r="M13" s="74"/>
      <c r="N13" s="74"/>
      <c r="O13" s="74"/>
      <c r="P13" s="74"/>
      <c r="Q13" s="74"/>
      <c r="R13" s="74"/>
      <c r="S13" s="74"/>
      <c r="T13" s="74"/>
      <c r="U13" s="74"/>
    </row>
    <row r="14" spans="1:21" x14ac:dyDescent="0.25">
      <c r="A14" s="94"/>
      <c r="B14" s="94"/>
      <c r="C14" s="94" t="s">
        <v>149</v>
      </c>
      <c r="D14" s="94" t="s">
        <v>154</v>
      </c>
      <c r="E14" s="74"/>
      <c r="F14" s="74"/>
      <c r="G14" s="74"/>
      <c r="H14" s="74"/>
      <c r="I14" s="74"/>
      <c r="J14" s="74"/>
      <c r="K14" s="74"/>
      <c r="L14" s="74"/>
      <c r="M14" s="74"/>
      <c r="N14" s="74"/>
      <c r="O14" s="74"/>
      <c r="P14" s="74"/>
      <c r="Q14" s="74"/>
      <c r="R14" s="74"/>
      <c r="S14" s="74"/>
      <c r="T14" s="74"/>
      <c r="U14" s="74"/>
    </row>
    <row r="15" spans="1:21" x14ac:dyDescent="0.25">
      <c r="A15" s="94"/>
      <c r="B15" s="94"/>
      <c r="C15" s="94" t="s">
        <v>150</v>
      </c>
      <c r="D15" s="94" t="s">
        <v>155</v>
      </c>
      <c r="E15" s="74"/>
      <c r="F15" s="74"/>
      <c r="G15" s="74"/>
      <c r="H15" s="74"/>
      <c r="I15" s="74"/>
      <c r="J15" s="74"/>
      <c r="K15" s="74"/>
      <c r="L15" s="74"/>
      <c r="M15" s="74"/>
      <c r="N15" s="74"/>
      <c r="O15" s="74"/>
      <c r="P15" s="74"/>
      <c r="Q15" s="74"/>
      <c r="R15" s="74"/>
      <c r="S15" s="74"/>
      <c r="T15" s="74"/>
      <c r="U15" s="74"/>
    </row>
    <row r="16" spans="1:21" x14ac:dyDescent="0.25">
      <c r="A16" s="94"/>
      <c r="B16" s="94"/>
      <c r="C16" s="94"/>
      <c r="D16" s="94"/>
      <c r="E16" s="74"/>
      <c r="F16" s="74"/>
      <c r="G16" s="74"/>
      <c r="H16" s="74"/>
      <c r="I16" s="74"/>
      <c r="J16" s="74"/>
      <c r="K16" s="74"/>
      <c r="L16" s="74"/>
      <c r="M16" s="74"/>
      <c r="N16" s="74"/>
      <c r="O16" s="74"/>
    </row>
    <row r="17" spans="1:15" x14ac:dyDescent="0.25">
      <c r="A17" s="94"/>
      <c r="B17" s="94"/>
      <c r="C17" s="94"/>
      <c r="D17" s="94"/>
      <c r="E17" s="74"/>
      <c r="F17" s="74"/>
      <c r="G17" s="74"/>
      <c r="H17" s="74"/>
      <c r="I17" s="74"/>
      <c r="J17" s="74"/>
      <c r="K17" s="74"/>
      <c r="L17" s="74"/>
      <c r="M17" s="74"/>
      <c r="N17" s="74"/>
      <c r="O17" s="74"/>
    </row>
    <row r="18" spans="1:15" x14ac:dyDescent="0.25">
      <c r="A18" s="94"/>
      <c r="B18" s="98"/>
      <c r="C18" s="98"/>
      <c r="D18" s="98"/>
      <c r="E18" s="74"/>
      <c r="F18" s="74"/>
      <c r="G18" s="74"/>
      <c r="H18" s="74"/>
      <c r="I18" s="74"/>
      <c r="J18" s="74"/>
      <c r="K18" s="74"/>
      <c r="L18" s="74"/>
      <c r="M18" s="74"/>
      <c r="N18" s="74"/>
      <c r="O18" s="74"/>
    </row>
    <row r="19" spans="1:15" x14ac:dyDescent="0.25">
      <c r="A19" s="94"/>
      <c r="B19" s="98"/>
      <c r="C19" s="98"/>
      <c r="D19" s="98"/>
      <c r="E19" s="74"/>
      <c r="F19" s="74"/>
      <c r="G19" s="74"/>
      <c r="H19" s="74"/>
      <c r="I19" s="74"/>
      <c r="J19" s="74"/>
      <c r="K19" s="74"/>
      <c r="L19" s="74"/>
      <c r="M19" s="74"/>
      <c r="N19" s="74"/>
      <c r="O19" s="74"/>
    </row>
    <row r="20" spans="1:15" x14ac:dyDescent="0.25">
      <c r="A20" s="94"/>
      <c r="B20" s="98"/>
      <c r="C20" s="98"/>
      <c r="D20" s="98"/>
      <c r="E20" s="74"/>
      <c r="F20" s="74"/>
      <c r="G20" s="74"/>
      <c r="H20" s="74"/>
      <c r="I20" s="74"/>
      <c r="J20" s="74"/>
      <c r="K20" s="74"/>
      <c r="L20" s="74"/>
      <c r="M20" s="74"/>
      <c r="N20" s="74"/>
      <c r="O20" s="74"/>
    </row>
    <row r="21" spans="1:15" x14ac:dyDescent="0.25">
      <c r="A21" s="94"/>
      <c r="B21" s="98"/>
      <c r="C21" s="98"/>
      <c r="D21" s="98"/>
      <c r="E21" s="74"/>
      <c r="F21" s="74"/>
      <c r="G21" s="74"/>
      <c r="H21" s="74"/>
      <c r="I21" s="74"/>
      <c r="J21" s="74"/>
      <c r="K21" s="74"/>
      <c r="L21" s="74"/>
      <c r="M21" s="74"/>
      <c r="N21" s="74"/>
      <c r="O21" s="74"/>
    </row>
    <row r="22" spans="1:15" ht="20.25" x14ac:dyDescent="0.25">
      <c r="A22" s="94"/>
      <c r="B22" s="94"/>
      <c r="C22" s="96"/>
      <c r="D22" s="96"/>
      <c r="E22" s="74"/>
      <c r="F22" s="74"/>
      <c r="G22" s="74"/>
      <c r="H22" s="74"/>
      <c r="I22" s="74"/>
      <c r="J22" s="74"/>
      <c r="K22" s="74"/>
      <c r="L22" s="74"/>
      <c r="M22" s="74"/>
      <c r="N22" s="74"/>
      <c r="O22" s="74"/>
    </row>
    <row r="23" spans="1:15" ht="20.25" x14ac:dyDescent="0.25">
      <c r="A23" s="94"/>
      <c r="B23" s="94"/>
      <c r="C23" s="96"/>
      <c r="D23" s="96"/>
      <c r="E23" s="74"/>
      <c r="F23" s="74"/>
      <c r="G23" s="74"/>
      <c r="H23" s="74"/>
      <c r="I23" s="74"/>
      <c r="J23" s="74"/>
      <c r="K23" s="74"/>
      <c r="L23" s="74"/>
      <c r="M23" s="74"/>
      <c r="N23" s="74"/>
      <c r="O23" s="74"/>
    </row>
    <row r="24" spans="1:15" ht="20.25" x14ac:dyDescent="0.25">
      <c r="A24" s="94"/>
      <c r="B24" s="94"/>
      <c r="C24" s="96"/>
      <c r="D24" s="96"/>
      <c r="E24" s="74"/>
      <c r="F24" s="74"/>
      <c r="G24" s="74"/>
      <c r="H24" s="74"/>
      <c r="I24" s="74"/>
      <c r="J24" s="74"/>
      <c r="K24" s="74"/>
      <c r="L24" s="74"/>
      <c r="M24" s="74"/>
      <c r="N24" s="74"/>
      <c r="O24" s="74"/>
    </row>
    <row r="25" spans="1:15" ht="20.25" x14ac:dyDescent="0.25">
      <c r="A25" s="94"/>
      <c r="B25" s="94"/>
      <c r="C25" s="96"/>
      <c r="D25" s="96"/>
      <c r="E25" s="74"/>
      <c r="F25" s="74"/>
      <c r="G25" s="74"/>
      <c r="H25" s="74"/>
      <c r="I25" s="74"/>
      <c r="J25" s="74"/>
      <c r="K25" s="74"/>
      <c r="L25" s="74"/>
      <c r="M25" s="74"/>
      <c r="N25" s="74"/>
      <c r="O25" s="74"/>
    </row>
    <row r="26" spans="1:15" ht="20.25" x14ac:dyDescent="0.25">
      <c r="A26" s="94"/>
      <c r="B26" s="94"/>
      <c r="C26" s="96"/>
      <c r="D26" s="96"/>
      <c r="E26" s="74"/>
      <c r="F26" s="74"/>
      <c r="G26" s="74"/>
      <c r="H26" s="74"/>
      <c r="I26" s="74"/>
      <c r="J26" s="74"/>
      <c r="K26" s="74"/>
      <c r="L26" s="74"/>
      <c r="M26" s="74"/>
      <c r="N26" s="74"/>
      <c r="O26" s="74"/>
    </row>
    <row r="27" spans="1:15" ht="20.25" x14ac:dyDescent="0.25">
      <c r="A27" s="94"/>
      <c r="B27" s="94"/>
      <c r="C27" s="96"/>
      <c r="D27" s="96"/>
      <c r="E27" s="74"/>
      <c r="F27" s="74"/>
      <c r="G27" s="74"/>
      <c r="H27" s="74"/>
      <c r="I27" s="74"/>
      <c r="J27" s="74"/>
      <c r="K27" s="74"/>
      <c r="L27" s="74"/>
      <c r="M27" s="74"/>
      <c r="N27" s="74"/>
      <c r="O27" s="74"/>
    </row>
    <row r="28" spans="1:15" ht="20.25" x14ac:dyDescent="0.25">
      <c r="A28" s="94"/>
      <c r="B28" s="94"/>
      <c r="C28" s="96"/>
      <c r="D28" s="96"/>
      <c r="E28" s="74"/>
      <c r="F28" s="74"/>
      <c r="G28" s="74"/>
      <c r="H28" s="74"/>
      <c r="I28" s="74"/>
      <c r="J28" s="74"/>
      <c r="K28" s="74"/>
      <c r="L28" s="74"/>
      <c r="M28" s="74"/>
      <c r="N28" s="74"/>
      <c r="O28" s="74"/>
    </row>
    <row r="29" spans="1:15" ht="20.25" x14ac:dyDescent="0.25">
      <c r="A29" s="94"/>
      <c r="B29" s="94"/>
      <c r="C29" s="96"/>
      <c r="D29" s="96"/>
      <c r="E29" s="74"/>
      <c r="F29" s="74"/>
      <c r="G29" s="74"/>
      <c r="H29" s="74"/>
      <c r="I29" s="74"/>
      <c r="J29" s="74"/>
      <c r="K29" s="74"/>
      <c r="L29" s="74"/>
      <c r="M29" s="74"/>
      <c r="N29" s="74"/>
      <c r="O29" s="74"/>
    </row>
    <row r="30" spans="1:15" ht="20.25" x14ac:dyDescent="0.25">
      <c r="A30" s="94"/>
      <c r="B30" s="94"/>
      <c r="C30" s="96"/>
      <c r="D30" s="96"/>
      <c r="E30" s="74"/>
      <c r="F30" s="74"/>
      <c r="G30" s="74"/>
      <c r="H30" s="74"/>
      <c r="I30" s="74"/>
      <c r="J30" s="74"/>
      <c r="K30" s="74"/>
      <c r="L30" s="74"/>
      <c r="M30" s="74"/>
      <c r="N30" s="74"/>
      <c r="O30" s="74"/>
    </row>
    <row r="31" spans="1:15" ht="20.25" x14ac:dyDescent="0.25">
      <c r="A31" s="94"/>
      <c r="B31" s="94"/>
      <c r="C31" s="96"/>
      <c r="D31" s="96"/>
      <c r="E31" s="74"/>
      <c r="F31" s="74"/>
      <c r="G31" s="74"/>
      <c r="H31" s="74"/>
      <c r="I31" s="74"/>
      <c r="J31" s="74"/>
      <c r="K31" s="74"/>
      <c r="L31" s="74"/>
      <c r="M31" s="74"/>
      <c r="N31" s="74"/>
      <c r="O31" s="74"/>
    </row>
    <row r="32" spans="1:15" ht="20.25" x14ac:dyDescent="0.25">
      <c r="A32" s="94"/>
      <c r="B32" s="94"/>
      <c r="C32" s="96"/>
      <c r="D32" s="96"/>
      <c r="E32" s="74"/>
      <c r="F32" s="74"/>
      <c r="G32" s="74"/>
      <c r="H32" s="74"/>
      <c r="I32" s="74"/>
      <c r="J32" s="74"/>
      <c r="K32" s="74"/>
      <c r="L32" s="74"/>
      <c r="M32" s="74"/>
      <c r="N32" s="74"/>
      <c r="O32" s="74"/>
    </row>
    <row r="33" spans="1:15" ht="20.25" x14ac:dyDescent="0.25">
      <c r="A33" s="94"/>
      <c r="B33" s="94"/>
      <c r="C33" s="96"/>
      <c r="D33" s="96"/>
      <c r="E33" s="74"/>
      <c r="F33" s="74"/>
      <c r="G33" s="74"/>
      <c r="H33" s="74"/>
      <c r="I33" s="74"/>
      <c r="J33" s="74"/>
      <c r="K33" s="74"/>
      <c r="L33" s="74"/>
      <c r="M33" s="74"/>
      <c r="N33" s="74"/>
      <c r="O33" s="74"/>
    </row>
    <row r="34" spans="1:15" ht="20.25" x14ac:dyDescent="0.25">
      <c r="A34" s="94"/>
      <c r="B34" s="94"/>
      <c r="C34" s="96"/>
      <c r="D34" s="96"/>
      <c r="E34" s="74"/>
      <c r="F34" s="74"/>
      <c r="G34" s="74"/>
      <c r="H34" s="74"/>
      <c r="I34" s="74"/>
      <c r="J34" s="74"/>
      <c r="K34" s="74"/>
      <c r="L34" s="74"/>
      <c r="M34" s="74"/>
      <c r="N34" s="74"/>
      <c r="O34" s="74"/>
    </row>
    <row r="35" spans="1:15" ht="20.25" x14ac:dyDescent="0.25">
      <c r="A35" s="94"/>
      <c r="B35" s="94"/>
      <c r="C35" s="96"/>
      <c r="D35" s="96"/>
      <c r="E35" s="74"/>
      <c r="F35" s="74"/>
      <c r="G35" s="74"/>
      <c r="H35" s="74"/>
      <c r="I35" s="74"/>
      <c r="J35" s="74"/>
      <c r="K35" s="74"/>
      <c r="L35" s="74"/>
      <c r="M35" s="74"/>
      <c r="N35" s="74"/>
      <c r="O35" s="74"/>
    </row>
    <row r="36" spans="1:15" ht="20.25" x14ac:dyDescent="0.25">
      <c r="A36" s="94"/>
      <c r="B36" s="94"/>
      <c r="C36" s="96"/>
      <c r="D36" s="96"/>
      <c r="E36" s="74"/>
      <c r="F36" s="74"/>
      <c r="G36" s="74"/>
      <c r="H36" s="74"/>
      <c r="I36" s="74"/>
      <c r="J36" s="74"/>
      <c r="K36" s="74"/>
      <c r="L36" s="74"/>
      <c r="M36" s="74"/>
      <c r="N36" s="74"/>
      <c r="O36" s="74"/>
    </row>
    <row r="37" spans="1:15" ht="20.25" x14ac:dyDescent="0.25">
      <c r="A37" s="94"/>
      <c r="B37" s="94"/>
      <c r="C37" s="96"/>
      <c r="D37" s="96"/>
      <c r="E37" s="74"/>
      <c r="F37" s="74"/>
      <c r="G37" s="74"/>
      <c r="H37" s="74"/>
      <c r="I37" s="74"/>
      <c r="J37" s="74"/>
      <c r="K37" s="74"/>
      <c r="L37" s="74"/>
      <c r="M37" s="74"/>
      <c r="N37" s="74"/>
      <c r="O37" s="74"/>
    </row>
    <row r="38" spans="1:15" ht="20.25" x14ac:dyDescent="0.25">
      <c r="A38" s="94"/>
      <c r="B38" s="94"/>
      <c r="C38" s="96"/>
      <c r="D38" s="96"/>
      <c r="E38" s="74"/>
      <c r="F38" s="74"/>
      <c r="G38" s="74"/>
      <c r="H38" s="74"/>
      <c r="I38" s="74"/>
      <c r="J38" s="74"/>
      <c r="K38" s="74"/>
      <c r="L38" s="74"/>
      <c r="M38" s="74"/>
      <c r="N38" s="74"/>
      <c r="O38" s="74"/>
    </row>
    <row r="39" spans="1:15" ht="20.25" x14ac:dyDescent="0.25">
      <c r="A39" s="94"/>
      <c r="B39" s="94"/>
      <c r="C39" s="96"/>
      <c r="D39" s="96"/>
      <c r="E39" s="74"/>
      <c r="F39" s="74"/>
      <c r="G39" s="74"/>
      <c r="H39" s="74"/>
      <c r="I39" s="74"/>
      <c r="J39" s="74"/>
      <c r="K39" s="74"/>
      <c r="L39" s="74"/>
      <c r="M39" s="74"/>
      <c r="N39" s="74"/>
      <c r="O39" s="74"/>
    </row>
    <row r="40" spans="1:15" ht="20.25" x14ac:dyDescent="0.25">
      <c r="A40" s="94"/>
      <c r="B40" s="94"/>
      <c r="C40" s="96"/>
      <c r="D40" s="96"/>
      <c r="E40" s="74"/>
      <c r="F40" s="74"/>
      <c r="G40" s="74"/>
      <c r="H40" s="74"/>
      <c r="I40" s="74"/>
      <c r="J40" s="74"/>
      <c r="K40" s="74"/>
      <c r="L40" s="74"/>
      <c r="M40" s="74"/>
      <c r="N40" s="74"/>
      <c r="O40" s="74"/>
    </row>
    <row r="41" spans="1:15" ht="20.25" x14ac:dyDescent="0.25">
      <c r="A41" s="94"/>
      <c r="B41" s="94"/>
      <c r="C41" s="96"/>
      <c r="D41" s="96"/>
      <c r="E41" s="74"/>
      <c r="F41" s="74"/>
      <c r="G41" s="74"/>
      <c r="H41" s="74"/>
      <c r="I41" s="74"/>
      <c r="J41" s="74"/>
      <c r="K41" s="74"/>
      <c r="L41" s="74"/>
      <c r="M41" s="74"/>
      <c r="N41" s="74"/>
      <c r="O41" s="74"/>
    </row>
    <row r="42" spans="1:15" ht="20.25" x14ac:dyDescent="0.25">
      <c r="A42" s="94"/>
      <c r="B42" s="94"/>
      <c r="C42" s="96"/>
      <c r="D42" s="96"/>
      <c r="E42" s="74"/>
      <c r="F42" s="74"/>
      <c r="G42" s="74"/>
      <c r="H42" s="74"/>
      <c r="I42" s="74"/>
      <c r="J42" s="74"/>
      <c r="K42" s="74"/>
      <c r="L42" s="74"/>
      <c r="M42" s="74"/>
      <c r="N42" s="74"/>
      <c r="O42" s="74"/>
    </row>
    <row r="43" spans="1:15" ht="20.25" x14ac:dyDescent="0.25">
      <c r="A43" s="94"/>
      <c r="B43" s="94"/>
      <c r="C43" s="96"/>
      <c r="D43" s="96"/>
      <c r="E43" s="74"/>
      <c r="F43" s="74"/>
      <c r="G43" s="74"/>
      <c r="H43" s="74"/>
      <c r="I43" s="74"/>
      <c r="J43" s="74"/>
      <c r="K43" s="74"/>
      <c r="L43" s="74"/>
      <c r="M43" s="74"/>
      <c r="N43" s="74"/>
      <c r="O43" s="74"/>
    </row>
    <row r="44" spans="1:15" ht="20.25" x14ac:dyDescent="0.25">
      <c r="A44" s="94"/>
      <c r="B44" s="94"/>
      <c r="C44" s="96"/>
      <c r="D44" s="96"/>
      <c r="E44" s="74"/>
      <c r="F44" s="74"/>
      <c r="G44" s="74"/>
      <c r="H44" s="74"/>
      <c r="I44" s="74"/>
      <c r="J44" s="74"/>
      <c r="K44" s="74"/>
      <c r="L44" s="74"/>
      <c r="M44" s="74"/>
      <c r="N44" s="74"/>
      <c r="O44" s="74"/>
    </row>
    <row r="45" spans="1:15" ht="20.25" x14ac:dyDescent="0.25">
      <c r="A45" s="94"/>
      <c r="B45" s="94"/>
      <c r="C45" s="96"/>
      <c r="D45" s="96"/>
      <c r="E45" s="74"/>
      <c r="F45" s="74"/>
      <c r="G45" s="74"/>
      <c r="H45" s="74"/>
      <c r="I45" s="74"/>
      <c r="J45" s="74"/>
      <c r="K45" s="74"/>
      <c r="L45" s="74"/>
      <c r="M45" s="74"/>
      <c r="N45" s="74"/>
      <c r="O45" s="74"/>
    </row>
    <row r="46" spans="1:15" ht="20.25" x14ac:dyDescent="0.25">
      <c r="A46" s="94"/>
      <c r="B46" s="94"/>
      <c r="C46" s="96"/>
      <c r="D46" s="96"/>
      <c r="E46" s="74"/>
      <c r="F46" s="74"/>
      <c r="G46" s="74"/>
      <c r="H46" s="74"/>
      <c r="I46" s="74"/>
      <c r="J46" s="74"/>
      <c r="K46" s="74"/>
      <c r="L46" s="74"/>
      <c r="M46" s="74"/>
      <c r="N46" s="74"/>
      <c r="O46" s="74"/>
    </row>
    <row r="47" spans="1:15" ht="20.25" x14ac:dyDescent="0.25">
      <c r="A47" s="94"/>
      <c r="B47" s="94"/>
      <c r="C47" s="96"/>
      <c r="D47" s="96"/>
      <c r="E47" s="74"/>
      <c r="F47" s="74"/>
      <c r="G47" s="74"/>
      <c r="H47" s="74"/>
      <c r="I47" s="74"/>
      <c r="J47" s="74"/>
      <c r="K47" s="74"/>
      <c r="L47" s="74"/>
      <c r="M47" s="74"/>
      <c r="N47" s="74"/>
      <c r="O47" s="74"/>
    </row>
    <row r="48" spans="1:15" ht="20.25" x14ac:dyDescent="0.25">
      <c r="A48" s="94"/>
      <c r="B48" s="94"/>
      <c r="C48" s="96"/>
      <c r="D48" s="96"/>
      <c r="E48" s="74"/>
      <c r="F48" s="74"/>
      <c r="G48" s="74"/>
      <c r="H48" s="74"/>
      <c r="I48" s="74"/>
      <c r="J48" s="74"/>
      <c r="K48" s="74"/>
      <c r="L48" s="74"/>
      <c r="M48" s="74"/>
      <c r="N48" s="74"/>
      <c r="O48" s="74"/>
    </row>
    <row r="49" spans="1:15" ht="20.25" x14ac:dyDescent="0.25">
      <c r="A49" s="94"/>
      <c r="B49" s="94"/>
      <c r="C49" s="96"/>
      <c r="D49" s="96"/>
      <c r="E49" s="74"/>
      <c r="F49" s="74"/>
      <c r="G49" s="74"/>
      <c r="H49" s="74"/>
      <c r="I49" s="74"/>
      <c r="J49" s="74"/>
      <c r="K49" s="74"/>
      <c r="L49" s="74"/>
      <c r="M49" s="74"/>
      <c r="N49" s="74"/>
      <c r="O49" s="74"/>
    </row>
    <row r="50" spans="1:15" ht="20.25" x14ac:dyDescent="0.25">
      <c r="A50" s="94"/>
      <c r="B50" s="94"/>
      <c r="C50" s="96"/>
      <c r="D50" s="96"/>
      <c r="E50" s="74"/>
      <c r="F50" s="74"/>
      <c r="G50" s="74"/>
      <c r="H50" s="74"/>
      <c r="I50" s="74"/>
      <c r="J50" s="74"/>
      <c r="K50" s="74"/>
      <c r="L50" s="74"/>
      <c r="M50" s="74"/>
      <c r="N50" s="74"/>
      <c r="O50" s="74"/>
    </row>
    <row r="51" spans="1:15" ht="20.25" x14ac:dyDescent="0.25">
      <c r="A51" s="94"/>
      <c r="B51" s="94"/>
      <c r="C51" s="96"/>
      <c r="D51" s="96"/>
      <c r="E51" s="74"/>
      <c r="F51" s="74"/>
      <c r="G51" s="74"/>
      <c r="H51" s="74"/>
      <c r="I51" s="74"/>
      <c r="J51" s="74"/>
      <c r="K51" s="74"/>
      <c r="L51" s="74"/>
      <c r="M51" s="74"/>
      <c r="N51" s="74"/>
      <c r="O51" s="74"/>
    </row>
    <row r="52" spans="1:15" ht="20.25" x14ac:dyDescent="0.25">
      <c r="A52" s="94"/>
      <c r="B52" s="12"/>
      <c r="C52" s="23"/>
      <c r="D52" s="23"/>
    </row>
    <row r="53" spans="1:15" ht="20.25" x14ac:dyDescent="0.25">
      <c r="A53" s="94"/>
      <c r="B53" s="12"/>
      <c r="C53" s="23"/>
      <c r="D53" s="23"/>
    </row>
    <row r="54" spans="1:15" ht="20.25" x14ac:dyDescent="0.25">
      <c r="A54" s="94"/>
      <c r="B54" s="12"/>
      <c r="C54" s="23"/>
      <c r="D54" s="23"/>
    </row>
    <row r="55" spans="1:15" ht="20.25" x14ac:dyDescent="0.25">
      <c r="A55" s="94"/>
      <c r="B55" s="12"/>
      <c r="C55" s="23"/>
      <c r="D55" s="23"/>
    </row>
    <row r="56" spans="1:15" ht="20.25" x14ac:dyDescent="0.25">
      <c r="A56" s="94"/>
      <c r="B56" s="12"/>
      <c r="C56" s="23"/>
      <c r="D56" s="23"/>
    </row>
    <row r="57" spans="1:15" ht="20.25" x14ac:dyDescent="0.25">
      <c r="A57" s="94"/>
      <c r="B57" s="12"/>
      <c r="C57" s="23"/>
      <c r="D57" s="23"/>
    </row>
    <row r="58" spans="1:15" ht="20.25" x14ac:dyDescent="0.25">
      <c r="A58" s="94"/>
      <c r="B58" s="12"/>
      <c r="C58" s="23"/>
      <c r="D58" s="23"/>
    </row>
    <row r="59" spans="1:15" ht="20.25" x14ac:dyDescent="0.25">
      <c r="A59" s="94"/>
      <c r="B59" s="12"/>
      <c r="C59" s="23"/>
      <c r="D59" s="23"/>
    </row>
    <row r="60" spans="1:15" ht="20.25" x14ac:dyDescent="0.25">
      <c r="A60" s="94"/>
      <c r="B60" s="12"/>
      <c r="C60" s="23"/>
      <c r="D60" s="23"/>
    </row>
    <row r="61" spans="1:15" ht="20.25" x14ac:dyDescent="0.25">
      <c r="A61" s="94"/>
      <c r="B61" s="12"/>
      <c r="C61" s="23"/>
      <c r="D61" s="23"/>
    </row>
    <row r="62" spans="1:15" ht="20.25" x14ac:dyDescent="0.25">
      <c r="A62" s="94"/>
      <c r="B62" s="12"/>
      <c r="C62" s="23"/>
      <c r="D62" s="23"/>
    </row>
    <row r="63" spans="1:15" ht="20.25" x14ac:dyDescent="0.25">
      <c r="A63" s="94"/>
      <c r="B63" s="12"/>
      <c r="C63" s="23"/>
      <c r="D63" s="23"/>
    </row>
    <row r="64" spans="1:15" ht="20.25" x14ac:dyDescent="0.25">
      <c r="A64" s="94"/>
      <c r="B64" s="12"/>
      <c r="C64" s="23"/>
      <c r="D64" s="23"/>
    </row>
    <row r="65" spans="1:4" ht="20.25" x14ac:dyDescent="0.25">
      <c r="A65" s="94"/>
      <c r="B65" s="12"/>
      <c r="C65" s="23"/>
      <c r="D65" s="23"/>
    </row>
    <row r="66" spans="1:4" ht="20.25" x14ac:dyDescent="0.25">
      <c r="A66" s="94"/>
      <c r="B66" s="12"/>
      <c r="C66" s="23"/>
      <c r="D66" s="23"/>
    </row>
    <row r="67" spans="1:4" ht="20.25" x14ac:dyDescent="0.25">
      <c r="A67" s="94"/>
      <c r="B67" s="12"/>
      <c r="C67" s="23"/>
      <c r="D67" s="23"/>
    </row>
    <row r="68" spans="1:4" ht="20.25" x14ac:dyDescent="0.25">
      <c r="A68" s="94"/>
      <c r="B68" s="12"/>
      <c r="C68" s="23"/>
      <c r="D68" s="23"/>
    </row>
    <row r="69" spans="1:4" ht="20.25" x14ac:dyDescent="0.25">
      <c r="A69" s="94"/>
      <c r="B69" s="12"/>
      <c r="C69" s="23"/>
      <c r="D69" s="23"/>
    </row>
    <row r="70" spans="1:4" ht="20.25" x14ac:dyDescent="0.25">
      <c r="A70" s="94"/>
      <c r="B70" s="12"/>
      <c r="C70" s="23"/>
      <c r="D70" s="23"/>
    </row>
    <row r="71" spans="1:4" ht="20.25" x14ac:dyDescent="0.25">
      <c r="A71" s="94"/>
      <c r="B71" s="12"/>
      <c r="C71" s="23"/>
      <c r="D71" s="23"/>
    </row>
    <row r="72" spans="1:4" ht="20.25" x14ac:dyDescent="0.25">
      <c r="A72" s="94"/>
      <c r="B72" s="12"/>
      <c r="C72" s="23"/>
      <c r="D72" s="23"/>
    </row>
    <row r="73" spans="1:4" ht="20.25" x14ac:dyDescent="0.25">
      <c r="A73" s="94"/>
      <c r="B73" s="12"/>
      <c r="C73" s="23"/>
      <c r="D73" s="23"/>
    </row>
    <row r="74" spans="1:4" ht="20.25" x14ac:dyDescent="0.25">
      <c r="A74" s="94"/>
      <c r="B74" s="12"/>
      <c r="C74" s="23"/>
      <c r="D74" s="23"/>
    </row>
    <row r="75" spans="1:4" ht="20.25" x14ac:dyDescent="0.25">
      <c r="A75" s="94"/>
      <c r="B75" s="12"/>
      <c r="C75" s="23"/>
      <c r="D75" s="23"/>
    </row>
    <row r="76" spans="1:4" ht="20.25" x14ac:dyDescent="0.25">
      <c r="A76" s="94"/>
      <c r="B76" s="12"/>
      <c r="C76" s="23"/>
      <c r="D76" s="23"/>
    </row>
    <row r="77" spans="1:4" ht="20.25" x14ac:dyDescent="0.25">
      <c r="A77" s="94"/>
      <c r="B77" s="12"/>
      <c r="C77" s="23"/>
      <c r="D77" s="23"/>
    </row>
    <row r="78" spans="1:4" ht="20.25" x14ac:dyDescent="0.25">
      <c r="A78" s="94"/>
      <c r="B78" s="12"/>
      <c r="C78" s="23"/>
      <c r="D78" s="23"/>
    </row>
    <row r="79" spans="1:4" ht="20.25" x14ac:dyDescent="0.25">
      <c r="A79" s="94"/>
      <c r="B79" s="12"/>
      <c r="C79" s="23"/>
      <c r="D79" s="23"/>
    </row>
    <row r="80" spans="1:4" ht="20.25" x14ac:dyDescent="0.25">
      <c r="A80" s="94"/>
      <c r="B80" s="12"/>
      <c r="C80" s="23"/>
      <c r="D80" s="23"/>
    </row>
    <row r="81" spans="1:4" ht="20.25" x14ac:dyDescent="0.25">
      <c r="A81" s="94"/>
      <c r="B81" s="12"/>
      <c r="C81" s="23"/>
      <c r="D81" s="23"/>
    </row>
    <row r="82" spans="1:4" ht="20.25" x14ac:dyDescent="0.25">
      <c r="A82" s="94"/>
      <c r="B82" s="12"/>
      <c r="C82" s="23"/>
      <c r="D82" s="23"/>
    </row>
    <row r="83" spans="1:4" ht="20.25" x14ac:dyDescent="0.25">
      <c r="A83" s="94"/>
      <c r="B83" s="12"/>
      <c r="C83" s="23"/>
      <c r="D83" s="23"/>
    </row>
    <row r="84" spans="1:4" ht="20.25" x14ac:dyDescent="0.25">
      <c r="A84" s="94"/>
      <c r="B84" s="12"/>
      <c r="C84" s="23"/>
      <c r="D84" s="23"/>
    </row>
    <row r="85" spans="1:4" ht="20.25" x14ac:dyDescent="0.25">
      <c r="A85" s="94"/>
      <c r="B85" s="12"/>
      <c r="C85" s="23"/>
      <c r="D85" s="23"/>
    </row>
    <row r="86" spans="1:4" ht="20.25" x14ac:dyDescent="0.25">
      <c r="A86" s="94"/>
      <c r="B86" s="12"/>
      <c r="C86" s="23"/>
      <c r="D86" s="23"/>
    </row>
    <row r="87" spans="1:4" ht="20.25" x14ac:dyDescent="0.25">
      <c r="A87" s="94"/>
      <c r="B87" s="12"/>
      <c r="C87" s="23"/>
      <c r="D87" s="23"/>
    </row>
    <row r="88" spans="1:4" ht="20.25" x14ac:dyDescent="0.25">
      <c r="A88" s="94"/>
      <c r="B88" s="12"/>
      <c r="C88" s="23"/>
      <c r="D88" s="23"/>
    </row>
    <row r="89" spans="1:4" ht="20.25" x14ac:dyDescent="0.25">
      <c r="A89" s="94"/>
      <c r="B89" s="12"/>
      <c r="C89" s="23"/>
      <c r="D89" s="23"/>
    </row>
    <row r="90" spans="1:4" ht="20.25" x14ac:dyDescent="0.25">
      <c r="A90" s="94"/>
      <c r="B90" s="12"/>
      <c r="C90" s="23"/>
      <c r="D90" s="23"/>
    </row>
    <row r="91" spans="1:4" ht="20.25" x14ac:dyDescent="0.25">
      <c r="A91" s="94"/>
      <c r="B91" s="12"/>
      <c r="C91" s="23"/>
      <c r="D91" s="23"/>
    </row>
    <row r="92" spans="1:4" ht="20.25" x14ac:dyDescent="0.25">
      <c r="A92" s="94"/>
      <c r="B92" s="12"/>
      <c r="C92" s="23"/>
      <c r="D92" s="23"/>
    </row>
    <row r="93" spans="1:4" ht="20.25" x14ac:dyDescent="0.25">
      <c r="A93" s="94"/>
      <c r="B93" s="12"/>
      <c r="C93" s="23"/>
      <c r="D93" s="23"/>
    </row>
    <row r="94" spans="1:4" ht="20.25" x14ac:dyDescent="0.25">
      <c r="A94" s="94"/>
      <c r="B94" s="12"/>
      <c r="C94" s="23"/>
      <c r="D94" s="23"/>
    </row>
    <row r="95" spans="1:4" ht="20.25" x14ac:dyDescent="0.25">
      <c r="A95" s="94"/>
      <c r="B95" s="12"/>
      <c r="C95" s="23"/>
      <c r="D95" s="23"/>
    </row>
    <row r="96" spans="1:4" ht="20.25" x14ac:dyDescent="0.25">
      <c r="A96" s="94"/>
      <c r="B96" s="12"/>
      <c r="C96" s="23"/>
      <c r="D96" s="23"/>
    </row>
    <row r="97" spans="1:4" ht="20.25" x14ac:dyDescent="0.25">
      <c r="A97" s="94"/>
      <c r="B97" s="12"/>
      <c r="C97" s="23"/>
      <c r="D97" s="23"/>
    </row>
    <row r="98" spans="1:4" ht="20.25" x14ac:dyDescent="0.25">
      <c r="A98" s="94"/>
      <c r="B98" s="12"/>
      <c r="C98" s="23"/>
      <c r="D98" s="23"/>
    </row>
    <row r="99" spans="1:4" ht="20.25" x14ac:dyDescent="0.25">
      <c r="A99" s="94"/>
      <c r="B99" s="12"/>
      <c r="C99" s="23"/>
      <c r="D99" s="23"/>
    </row>
    <row r="100" spans="1:4" ht="20.25" x14ac:dyDescent="0.25">
      <c r="A100" s="94"/>
      <c r="B100" s="12"/>
      <c r="C100" s="23"/>
      <c r="D100" s="23"/>
    </row>
    <row r="101" spans="1:4" ht="20.25" x14ac:dyDescent="0.25">
      <c r="A101" s="94"/>
      <c r="B101" s="12"/>
      <c r="C101" s="23"/>
      <c r="D101" s="23"/>
    </row>
    <row r="102" spans="1:4" ht="20.25" x14ac:dyDescent="0.25">
      <c r="A102" s="94"/>
      <c r="B102" s="12"/>
      <c r="C102" s="23"/>
      <c r="D102" s="23"/>
    </row>
    <row r="103" spans="1:4" ht="20.25" x14ac:dyDescent="0.25">
      <c r="A103" s="94"/>
      <c r="B103" s="12"/>
      <c r="C103" s="23"/>
      <c r="D103" s="23"/>
    </row>
    <row r="104" spans="1:4" ht="20.25" x14ac:dyDescent="0.25">
      <c r="A104" s="94"/>
      <c r="B104" s="12"/>
      <c r="C104" s="23"/>
      <c r="D104" s="23"/>
    </row>
    <row r="105" spans="1:4" ht="20.25" x14ac:dyDescent="0.25">
      <c r="A105" s="94"/>
      <c r="B105" s="12"/>
      <c r="C105" s="23"/>
      <c r="D105" s="23"/>
    </row>
    <row r="106" spans="1:4" ht="20.25" x14ac:dyDescent="0.25">
      <c r="A106" s="94"/>
      <c r="B106" s="12"/>
      <c r="C106" s="23"/>
      <c r="D106" s="23"/>
    </row>
    <row r="107" spans="1:4" ht="20.25" x14ac:dyDescent="0.25">
      <c r="A107" s="94"/>
      <c r="B107" s="12"/>
      <c r="C107" s="23"/>
      <c r="D107" s="23"/>
    </row>
    <row r="108" spans="1:4" ht="20.25" x14ac:dyDescent="0.25">
      <c r="A108" s="94"/>
      <c r="B108" s="12"/>
      <c r="C108" s="23"/>
      <c r="D108" s="23"/>
    </row>
    <row r="109" spans="1:4" ht="20.25" x14ac:dyDescent="0.25">
      <c r="A109" s="94"/>
      <c r="B109" s="12"/>
      <c r="C109" s="23"/>
      <c r="D109" s="23"/>
    </row>
    <row r="110" spans="1:4" ht="20.25" x14ac:dyDescent="0.25">
      <c r="A110" s="94"/>
      <c r="B110" s="12"/>
      <c r="C110" s="23"/>
      <c r="D110" s="23"/>
    </row>
    <row r="111" spans="1:4" ht="20.25" x14ac:dyDescent="0.25">
      <c r="A111" s="94"/>
      <c r="B111" s="12"/>
      <c r="C111" s="23"/>
      <c r="D111" s="23"/>
    </row>
    <row r="112" spans="1:4" ht="20.25" x14ac:dyDescent="0.25">
      <c r="A112" s="94"/>
      <c r="B112" s="12"/>
      <c r="C112" s="23"/>
      <c r="D112" s="23"/>
    </row>
    <row r="113" spans="1:4" ht="20.25" x14ac:dyDescent="0.25">
      <c r="A113" s="94"/>
      <c r="B113" s="12"/>
      <c r="C113" s="23"/>
      <c r="D113" s="23"/>
    </row>
    <row r="114" spans="1:4" ht="20.25" x14ac:dyDescent="0.25">
      <c r="A114" s="94"/>
      <c r="B114" s="12"/>
      <c r="C114" s="23"/>
      <c r="D114" s="23"/>
    </row>
    <row r="115" spans="1:4" ht="20.25" x14ac:dyDescent="0.25">
      <c r="A115" s="94"/>
      <c r="B115" s="12"/>
      <c r="C115" s="23"/>
      <c r="D115" s="23"/>
    </row>
    <row r="116" spans="1:4" ht="20.25" x14ac:dyDescent="0.25">
      <c r="A116" s="94"/>
      <c r="B116" s="12"/>
      <c r="C116" s="23"/>
      <c r="D116" s="23"/>
    </row>
    <row r="117" spans="1:4" ht="20.25" x14ac:dyDescent="0.25">
      <c r="A117" s="94"/>
      <c r="B117" s="12"/>
      <c r="C117" s="23"/>
      <c r="D117" s="23"/>
    </row>
    <row r="118" spans="1:4" ht="20.25" x14ac:dyDescent="0.25">
      <c r="A118" s="94"/>
      <c r="B118" s="12"/>
      <c r="C118" s="23"/>
      <c r="D118" s="23"/>
    </row>
    <row r="119" spans="1:4" ht="20.25" x14ac:dyDescent="0.25">
      <c r="A119" s="94"/>
      <c r="B119" s="12"/>
      <c r="C119" s="23"/>
      <c r="D119" s="23"/>
    </row>
    <row r="120" spans="1:4" ht="20.25" x14ac:dyDescent="0.25">
      <c r="A120" s="94"/>
      <c r="B120" s="12"/>
      <c r="C120" s="23"/>
      <c r="D120" s="23"/>
    </row>
    <row r="121" spans="1:4" ht="20.25" x14ac:dyDescent="0.25">
      <c r="A121" s="94"/>
      <c r="B121" s="12"/>
      <c r="C121" s="23"/>
      <c r="D121" s="23"/>
    </row>
    <row r="122" spans="1:4" ht="20.25" x14ac:dyDescent="0.25">
      <c r="A122" s="94"/>
      <c r="B122" s="12"/>
      <c r="C122" s="23"/>
      <c r="D122" s="23"/>
    </row>
    <row r="123" spans="1:4" ht="20.25" x14ac:dyDescent="0.25">
      <c r="A123" s="94"/>
      <c r="B123" s="12"/>
      <c r="C123" s="23"/>
      <c r="D123" s="23"/>
    </row>
    <row r="124" spans="1:4" ht="20.25" x14ac:dyDescent="0.25">
      <c r="A124" s="94"/>
      <c r="B124" s="12"/>
      <c r="C124" s="23"/>
      <c r="D124" s="23"/>
    </row>
    <row r="125" spans="1:4" ht="20.25" x14ac:dyDescent="0.25">
      <c r="A125" s="94"/>
      <c r="B125" s="12"/>
      <c r="C125" s="23"/>
      <c r="D125" s="23"/>
    </row>
    <row r="126" spans="1:4" ht="20.25" x14ac:dyDescent="0.25">
      <c r="A126" s="94"/>
      <c r="B126" s="12"/>
      <c r="C126" s="23"/>
      <c r="D126" s="23"/>
    </row>
    <row r="127" spans="1:4" ht="20.25" x14ac:dyDescent="0.25">
      <c r="A127" s="94"/>
      <c r="B127" s="12"/>
      <c r="C127" s="23"/>
      <c r="D127" s="23"/>
    </row>
    <row r="128" spans="1:4" ht="20.25" x14ac:dyDescent="0.25">
      <c r="A128" s="94"/>
      <c r="B128" s="12"/>
      <c r="C128" s="23"/>
      <c r="D128" s="23"/>
    </row>
    <row r="129" spans="1:4" ht="20.25" x14ac:dyDescent="0.25">
      <c r="A129" s="94"/>
      <c r="B129" s="12"/>
      <c r="C129" s="23"/>
      <c r="D129" s="23"/>
    </row>
    <row r="130" spans="1:4" ht="20.25" x14ac:dyDescent="0.25">
      <c r="A130" s="94"/>
      <c r="B130" s="12"/>
      <c r="C130" s="23"/>
      <c r="D130" s="23"/>
    </row>
    <row r="131" spans="1:4" ht="20.25" x14ac:dyDescent="0.25">
      <c r="A131" s="94"/>
      <c r="B131" s="12"/>
      <c r="C131" s="23"/>
      <c r="D131" s="23"/>
    </row>
    <row r="132" spans="1:4" ht="20.25" x14ac:dyDescent="0.25">
      <c r="A132" s="94"/>
      <c r="B132" s="12"/>
      <c r="C132" s="23"/>
      <c r="D132" s="23"/>
    </row>
    <row r="133" spans="1:4" ht="20.25" x14ac:dyDescent="0.25">
      <c r="A133" s="94"/>
      <c r="B133" s="12"/>
      <c r="C133" s="23"/>
      <c r="D133" s="23"/>
    </row>
    <row r="134" spans="1:4" ht="20.25" x14ac:dyDescent="0.25">
      <c r="A134" s="94"/>
      <c r="B134" s="12"/>
      <c r="C134" s="23"/>
      <c r="D134" s="23"/>
    </row>
    <row r="135" spans="1:4" ht="20.25" x14ac:dyDescent="0.25">
      <c r="A135" s="94"/>
      <c r="B135" s="12"/>
      <c r="C135" s="23"/>
      <c r="D135" s="23"/>
    </row>
    <row r="136" spans="1:4" ht="20.25" x14ac:dyDescent="0.25">
      <c r="A136" s="94"/>
      <c r="B136" s="12"/>
      <c r="C136" s="23"/>
      <c r="D136" s="23"/>
    </row>
    <row r="137" spans="1:4" ht="20.25" x14ac:dyDescent="0.25">
      <c r="A137" s="94"/>
      <c r="B137" s="12"/>
      <c r="C137" s="23"/>
      <c r="D137" s="23"/>
    </row>
    <row r="138" spans="1:4" ht="20.25" x14ac:dyDescent="0.25">
      <c r="A138" s="94"/>
      <c r="B138" s="12"/>
      <c r="C138" s="23"/>
      <c r="D138" s="23"/>
    </row>
    <row r="139" spans="1:4" ht="20.25" x14ac:dyDescent="0.25">
      <c r="A139" s="94"/>
      <c r="B139" s="12"/>
      <c r="C139" s="23"/>
      <c r="D139" s="23"/>
    </row>
    <row r="140" spans="1:4" ht="20.25" x14ac:dyDescent="0.25">
      <c r="A140" s="94"/>
      <c r="B140" s="12"/>
      <c r="C140" s="23"/>
      <c r="D140" s="23"/>
    </row>
    <row r="141" spans="1:4" ht="20.25" x14ac:dyDescent="0.25">
      <c r="A141" s="94"/>
      <c r="B141" s="12"/>
      <c r="C141" s="23"/>
      <c r="D141" s="23"/>
    </row>
    <row r="142" spans="1:4" ht="20.25" x14ac:dyDescent="0.25">
      <c r="A142" s="94"/>
      <c r="B142" s="12"/>
      <c r="C142" s="23"/>
      <c r="D142" s="23"/>
    </row>
    <row r="143" spans="1:4" ht="20.25" x14ac:dyDescent="0.25">
      <c r="A143" s="94"/>
      <c r="B143" s="12"/>
      <c r="C143" s="23"/>
      <c r="D143" s="23"/>
    </row>
    <row r="144" spans="1:4" ht="20.25" x14ac:dyDescent="0.25">
      <c r="A144" s="94"/>
      <c r="B144" s="12"/>
      <c r="C144" s="23"/>
      <c r="D144" s="23"/>
    </row>
    <row r="145" spans="1:4" ht="20.25" x14ac:dyDescent="0.25">
      <c r="A145" s="94"/>
      <c r="B145" s="12"/>
      <c r="C145" s="23"/>
      <c r="D145" s="23"/>
    </row>
    <row r="146" spans="1:4" ht="20.25" x14ac:dyDescent="0.25">
      <c r="A146" s="94"/>
      <c r="B146" s="12"/>
      <c r="C146" s="23"/>
      <c r="D146" s="23"/>
    </row>
    <row r="147" spans="1:4" ht="20.25" x14ac:dyDescent="0.25">
      <c r="A147" s="94"/>
      <c r="B147" s="12"/>
      <c r="C147" s="23"/>
      <c r="D147" s="23"/>
    </row>
    <row r="148" spans="1:4" ht="20.25" x14ac:dyDescent="0.25">
      <c r="A148" s="94"/>
      <c r="B148" s="12"/>
      <c r="C148" s="23"/>
      <c r="D148" s="23"/>
    </row>
    <row r="149" spans="1:4" ht="20.25" x14ac:dyDescent="0.25">
      <c r="A149" s="94"/>
      <c r="B149" s="12"/>
      <c r="C149" s="23"/>
      <c r="D149" s="23"/>
    </row>
    <row r="150" spans="1:4" ht="20.25" x14ac:dyDescent="0.25">
      <c r="A150" s="94"/>
      <c r="B150" s="12"/>
      <c r="C150" s="23"/>
      <c r="D150" s="23"/>
    </row>
    <row r="151" spans="1:4" ht="20.25" x14ac:dyDescent="0.25">
      <c r="A151" s="94"/>
      <c r="B151" s="12"/>
      <c r="C151" s="23"/>
      <c r="D151" s="23"/>
    </row>
    <row r="152" spans="1:4" ht="20.25" x14ac:dyDescent="0.25">
      <c r="A152" s="94"/>
      <c r="B152" s="12"/>
      <c r="C152" s="23"/>
      <c r="D152" s="23"/>
    </row>
    <row r="153" spans="1:4" ht="20.25" x14ac:dyDescent="0.25">
      <c r="A153" s="94"/>
      <c r="B153" s="12"/>
      <c r="C153" s="23"/>
      <c r="D153" s="23"/>
    </row>
    <row r="154" spans="1:4" ht="20.25" x14ac:dyDescent="0.25">
      <c r="A154" s="94"/>
      <c r="B154" s="12"/>
      <c r="C154" s="23"/>
      <c r="D154" s="23"/>
    </row>
    <row r="155" spans="1:4" ht="20.25" x14ac:dyDescent="0.25">
      <c r="A155" s="94"/>
      <c r="B155" s="12"/>
      <c r="C155" s="23"/>
      <c r="D155" s="23"/>
    </row>
    <row r="156" spans="1:4" ht="20.25" x14ac:dyDescent="0.25">
      <c r="A156" s="94"/>
      <c r="B156" s="12"/>
      <c r="C156" s="23"/>
      <c r="D156" s="23"/>
    </row>
    <row r="157" spans="1:4" ht="20.25" x14ac:dyDescent="0.25">
      <c r="A157" s="94"/>
      <c r="B157" s="12"/>
      <c r="C157" s="23"/>
      <c r="D157" s="23"/>
    </row>
    <row r="158" spans="1:4" ht="20.25" x14ac:dyDescent="0.25">
      <c r="A158" s="94"/>
      <c r="B158" s="12"/>
      <c r="C158" s="23"/>
      <c r="D158" s="23"/>
    </row>
    <row r="159" spans="1:4" ht="20.25" x14ac:dyDescent="0.25">
      <c r="A159" s="94"/>
      <c r="B159" s="12"/>
      <c r="C159" s="23"/>
      <c r="D159" s="23"/>
    </row>
    <row r="160" spans="1:4" ht="20.25" x14ac:dyDescent="0.25">
      <c r="A160" s="94"/>
      <c r="B160" s="12"/>
      <c r="C160" s="23"/>
      <c r="D160" s="23"/>
    </row>
    <row r="161" spans="1:4" ht="20.25" x14ac:dyDescent="0.25">
      <c r="A161" s="94"/>
      <c r="B161" s="12"/>
      <c r="C161" s="23"/>
      <c r="D161" s="23"/>
    </row>
    <row r="162" spans="1:4" ht="20.25" x14ac:dyDescent="0.25">
      <c r="A162" s="94"/>
      <c r="B162" s="12"/>
      <c r="C162" s="23"/>
      <c r="D162" s="23"/>
    </row>
    <row r="163" spans="1:4" ht="20.25" x14ac:dyDescent="0.25">
      <c r="A163" s="94"/>
      <c r="B163" s="12"/>
      <c r="C163" s="23"/>
      <c r="D163" s="23"/>
    </row>
    <row r="164" spans="1:4" ht="20.25" x14ac:dyDescent="0.25">
      <c r="A164" s="94"/>
      <c r="B164" s="12"/>
      <c r="C164" s="23"/>
      <c r="D164" s="23"/>
    </row>
    <row r="165" spans="1:4" ht="20.25" x14ac:dyDescent="0.25">
      <c r="A165" s="94"/>
      <c r="B165" s="12"/>
      <c r="C165" s="23"/>
      <c r="D165" s="23"/>
    </row>
    <row r="166" spans="1:4" ht="20.25" x14ac:dyDescent="0.25">
      <c r="A166" s="94"/>
      <c r="B166" s="12"/>
      <c r="C166" s="23"/>
      <c r="D166" s="23"/>
    </row>
    <row r="167" spans="1:4" ht="20.25" x14ac:dyDescent="0.25">
      <c r="A167" s="94"/>
      <c r="B167" s="12"/>
      <c r="C167" s="23"/>
      <c r="D167" s="23"/>
    </row>
    <row r="168" spans="1:4" ht="20.25" x14ac:dyDescent="0.25">
      <c r="A168" s="94"/>
      <c r="B168" s="12"/>
      <c r="C168" s="23"/>
      <c r="D168" s="23"/>
    </row>
    <row r="169" spans="1:4" ht="20.25" x14ac:dyDescent="0.25">
      <c r="A169" s="94"/>
      <c r="B169" s="12"/>
      <c r="C169" s="23"/>
      <c r="D169" s="23"/>
    </row>
    <row r="170" spans="1:4" ht="20.25" x14ac:dyDescent="0.25">
      <c r="A170" s="94"/>
      <c r="B170" s="12"/>
      <c r="C170" s="23"/>
      <c r="D170" s="23"/>
    </row>
    <row r="171" spans="1:4" ht="20.25" x14ac:dyDescent="0.25">
      <c r="A171" s="94"/>
      <c r="B171" s="12"/>
      <c r="C171" s="23"/>
      <c r="D171" s="23"/>
    </row>
    <row r="172" spans="1:4" ht="20.25" x14ac:dyDescent="0.25">
      <c r="A172" s="94"/>
      <c r="B172" s="12"/>
      <c r="C172" s="23"/>
      <c r="D172" s="23"/>
    </row>
    <row r="173" spans="1:4" ht="20.25" x14ac:dyDescent="0.25">
      <c r="A173" s="94"/>
      <c r="B173" s="12"/>
      <c r="C173" s="23"/>
      <c r="D173" s="23"/>
    </row>
    <row r="174" spans="1:4" ht="20.25" x14ac:dyDescent="0.25">
      <c r="A174" s="94"/>
      <c r="B174" s="12"/>
      <c r="C174" s="23"/>
      <c r="D174" s="23"/>
    </row>
    <row r="175" spans="1:4" ht="20.25" x14ac:dyDescent="0.25">
      <c r="A175" s="94"/>
      <c r="B175" s="12"/>
      <c r="C175" s="23"/>
      <c r="D175" s="23"/>
    </row>
    <row r="176" spans="1:4" ht="20.25" x14ac:dyDescent="0.25">
      <c r="A176" s="94"/>
      <c r="B176" s="12"/>
      <c r="C176" s="23"/>
      <c r="D176" s="23"/>
    </row>
    <row r="177" spans="1:4" ht="20.25" x14ac:dyDescent="0.25">
      <c r="A177" s="94"/>
      <c r="B177" s="12"/>
      <c r="C177" s="23"/>
      <c r="D177" s="23"/>
    </row>
    <row r="178" spans="1:4" ht="20.25" x14ac:dyDescent="0.25">
      <c r="A178" s="94"/>
      <c r="B178" s="12"/>
      <c r="C178" s="23"/>
      <c r="D178" s="23"/>
    </row>
    <row r="179" spans="1:4" ht="20.25" x14ac:dyDescent="0.25">
      <c r="A179" s="94"/>
      <c r="B179" s="12"/>
      <c r="C179" s="23"/>
      <c r="D179" s="23"/>
    </row>
    <row r="180" spans="1:4" ht="20.25" x14ac:dyDescent="0.25">
      <c r="A180" s="94"/>
      <c r="B180" s="12"/>
      <c r="C180" s="23"/>
      <c r="D180" s="23"/>
    </row>
    <row r="181" spans="1:4" ht="20.25" x14ac:dyDescent="0.25">
      <c r="A181" s="94"/>
      <c r="B181" s="12"/>
      <c r="C181" s="23"/>
      <c r="D181" s="23"/>
    </row>
    <row r="182" spans="1:4" ht="20.25" x14ac:dyDescent="0.25">
      <c r="A182" s="94"/>
      <c r="B182" s="12"/>
      <c r="C182" s="23"/>
      <c r="D182" s="23"/>
    </row>
    <row r="183" spans="1:4" ht="20.25" x14ac:dyDescent="0.25">
      <c r="A183" s="94"/>
      <c r="B183" s="12"/>
      <c r="C183" s="23"/>
      <c r="D183" s="23"/>
    </row>
    <row r="184" spans="1:4" ht="20.25" x14ac:dyDescent="0.25">
      <c r="A184" s="94"/>
      <c r="B184" s="12"/>
      <c r="C184" s="23"/>
      <c r="D184" s="23"/>
    </row>
    <row r="185" spans="1:4" ht="20.25" x14ac:dyDescent="0.25">
      <c r="A185" s="94"/>
      <c r="B185" s="12"/>
      <c r="C185" s="23"/>
      <c r="D185" s="23"/>
    </row>
    <row r="186" spans="1:4" ht="20.25" x14ac:dyDescent="0.25">
      <c r="A186" s="94"/>
      <c r="B186" s="12"/>
      <c r="C186" s="23"/>
      <c r="D186" s="23"/>
    </row>
    <row r="187" spans="1:4" ht="20.25" x14ac:dyDescent="0.25">
      <c r="A187" s="94"/>
      <c r="B187" s="12"/>
      <c r="C187" s="23"/>
      <c r="D187" s="23"/>
    </row>
    <row r="188" spans="1:4" ht="20.25" x14ac:dyDescent="0.25">
      <c r="A188" s="94"/>
      <c r="B188" s="12"/>
      <c r="C188" s="23"/>
      <c r="D188" s="23"/>
    </row>
    <row r="189" spans="1:4" ht="20.25" x14ac:dyDescent="0.25">
      <c r="A189" s="94"/>
      <c r="B189" s="12"/>
      <c r="C189" s="23"/>
      <c r="D189" s="23"/>
    </row>
    <row r="190" spans="1:4" ht="20.25" x14ac:dyDescent="0.25">
      <c r="A190" s="94"/>
      <c r="B190" s="12"/>
      <c r="C190" s="23"/>
      <c r="D190" s="23"/>
    </row>
    <row r="191" spans="1:4" ht="20.25" x14ac:dyDescent="0.25">
      <c r="A191" s="94"/>
      <c r="B191" s="12"/>
      <c r="C191" s="23"/>
      <c r="D191" s="23"/>
    </row>
    <row r="192" spans="1:4" ht="20.25" x14ac:dyDescent="0.25">
      <c r="A192" s="94"/>
      <c r="B192" s="12"/>
      <c r="C192" s="23"/>
      <c r="D192" s="23"/>
    </row>
    <row r="193" spans="1:4" ht="20.25" x14ac:dyDescent="0.25">
      <c r="A193" s="94"/>
      <c r="B193" s="12"/>
      <c r="C193" s="23"/>
      <c r="D193" s="23"/>
    </row>
    <row r="194" spans="1:4" ht="20.25" x14ac:dyDescent="0.25">
      <c r="A194" s="94"/>
      <c r="B194" s="12"/>
      <c r="C194" s="23"/>
      <c r="D194" s="23"/>
    </row>
    <row r="195" spans="1:4" ht="20.25" x14ac:dyDescent="0.25">
      <c r="A195" s="94"/>
      <c r="B195" s="12"/>
      <c r="C195" s="23"/>
      <c r="D195" s="23"/>
    </row>
    <row r="196" spans="1:4" ht="20.25" x14ac:dyDescent="0.25">
      <c r="A196" s="94"/>
      <c r="B196" s="12"/>
      <c r="C196" s="23"/>
      <c r="D196" s="23"/>
    </row>
    <row r="197" spans="1:4" ht="20.25" x14ac:dyDescent="0.25">
      <c r="A197" s="94"/>
      <c r="B197" s="12"/>
      <c r="C197" s="23"/>
      <c r="D197" s="23"/>
    </row>
    <row r="198" spans="1:4" ht="20.25" x14ac:dyDescent="0.25">
      <c r="A198" s="94"/>
      <c r="B198" s="12"/>
      <c r="C198" s="23"/>
      <c r="D198" s="23"/>
    </row>
    <row r="199" spans="1:4" ht="20.25" x14ac:dyDescent="0.25">
      <c r="A199" s="94"/>
      <c r="B199" s="12"/>
      <c r="C199" s="23"/>
      <c r="D199" s="23"/>
    </row>
    <row r="200" spans="1:4" ht="20.25" x14ac:dyDescent="0.25">
      <c r="A200" s="94"/>
      <c r="B200" s="12"/>
      <c r="C200" s="23"/>
      <c r="D200" s="23"/>
    </row>
    <row r="201" spans="1:4" ht="20.25" x14ac:dyDescent="0.25">
      <c r="A201" s="94"/>
      <c r="B201" s="12"/>
      <c r="C201" s="23"/>
      <c r="D201" s="23"/>
    </row>
    <row r="202" spans="1:4" ht="20.25" x14ac:dyDescent="0.25">
      <c r="A202" s="94"/>
      <c r="B202" s="12"/>
      <c r="C202" s="23"/>
      <c r="D202" s="23"/>
    </row>
    <row r="203" spans="1:4" ht="20.25" x14ac:dyDescent="0.25">
      <c r="A203" s="94"/>
      <c r="B203" s="12"/>
      <c r="C203" s="23"/>
      <c r="D203" s="23"/>
    </row>
    <row r="204" spans="1:4" ht="20.25" x14ac:dyDescent="0.25">
      <c r="A204" s="94"/>
      <c r="B204" s="12"/>
      <c r="C204" s="23"/>
      <c r="D204" s="23"/>
    </row>
    <row r="205" spans="1:4" ht="20.25" x14ac:dyDescent="0.25">
      <c r="A205" s="94"/>
      <c r="B205" s="12"/>
      <c r="C205" s="23"/>
      <c r="D205" s="23"/>
    </row>
    <row r="206" spans="1:4" ht="20.25" x14ac:dyDescent="0.25">
      <c r="A206" s="94"/>
      <c r="B206" s="12"/>
      <c r="C206" s="23"/>
      <c r="D206" s="23"/>
    </row>
    <row r="207" spans="1:4" ht="20.25" x14ac:dyDescent="0.25">
      <c r="A207" s="94"/>
      <c r="B207" s="12"/>
      <c r="C207" s="23"/>
      <c r="D207" s="23"/>
    </row>
    <row r="208" spans="1:4" x14ac:dyDescent="0.25">
      <c r="A208" s="74"/>
      <c r="B208" s="12"/>
      <c r="C208" s="12"/>
      <c r="D208" s="12"/>
    </row>
    <row r="209" spans="1:8" ht="20.25" x14ac:dyDescent="0.25">
      <c r="A209" s="74"/>
      <c r="B209" s="19" t="s">
        <v>88</v>
      </c>
      <c r="C209" s="19" t="s">
        <v>143</v>
      </c>
      <c r="D209" s="22" t="s">
        <v>88</v>
      </c>
      <c r="E209" s="22" t="s">
        <v>143</v>
      </c>
    </row>
    <row r="210" spans="1:8" ht="21" x14ac:dyDescent="0.35">
      <c r="A210" s="74"/>
      <c r="B210" s="20" t="s">
        <v>90</v>
      </c>
      <c r="C210" s="20"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74"/>
      <c r="B211" s="20" t="s">
        <v>90</v>
      </c>
      <c r="C211" s="20" t="s">
        <v>93</v>
      </c>
      <c r="E211" t="s">
        <v>58</v>
      </c>
      <c r="F211" t="str">
        <f t="shared" ref="F211:F221" si="0">IF(NOT(ISBLANK(D211)),D211,IF(NOT(ISBLANK(E211)),"     "&amp;E211,FALSE))</f>
        <v xml:space="preserve">     Afectación menor a 10 SMLMV .</v>
      </c>
    </row>
    <row r="212" spans="1:8" ht="21" x14ac:dyDescent="0.35">
      <c r="A212" s="74"/>
      <c r="B212" s="20" t="s">
        <v>90</v>
      </c>
      <c r="C212" s="20" t="s">
        <v>94</v>
      </c>
      <c r="E212" t="s">
        <v>93</v>
      </c>
      <c r="F212" t="str">
        <f t="shared" si="0"/>
        <v xml:space="preserve">     Entre 10 y 50 SMLMV </v>
      </c>
    </row>
    <row r="213" spans="1:8" ht="21" x14ac:dyDescent="0.35">
      <c r="A213" s="74"/>
      <c r="B213" s="20" t="s">
        <v>90</v>
      </c>
      <c r="C213" s="20" t="s">
        <v>95</v>
      </c>
      <c r="E213" t="s">
        <v>94</v>
      </c>
      <c r="F213" t="str">
        <f t="shared" si="0"/>
        <v xml:space="preserve">     Entre 50 y 100 SMLMV </v>
      </c>
    </row>
    <row r="214" spans="1:8" ht="21" x14ac:dyDescent="0.35">
      <c r="A214" s="74"/>
      <c r="B214" s="20" t="s">
        <v>90</v>
      </c>
      <c r="C214" s="20" t="s">
        <v>96</v>
      </c>
      <c r="E214" t="s">
        <v>95</v>
      </c>
      <c r="F214" t="str">
        <f t="shared" si="0"/>
        <v xml:space="preserve">     Entre 100 y 500 SMLMV </v>
      </c>
    </row>
    <row r="215" spans="1:8" ht="21" x14ac:dyDescent="0.35">
      <c r="A215" s="74"/>
      <c r="B215" s="20" t="s">
        <v>57</v>
      </c>
      <c r="C215" s="20" t="s">
        <v>97</v>
      </c>
      <c r="E215" t="s">
        <v>96</v>
      </c>
      <c r="F215" t="str">
        <f t="shared" si="0"/>
        <v xml:space="preserve">     Mayor a 500 SMLMV </v>
      </c>
    </row>
    <row r="216" spans="1:8" ht="21" x14ac:dyDescent="0.35">
      <c r="A216" s="74"/>
      <c r="B216" s="20" t="s">
        <v>57</v>
      </c>
      <c r="C216" s="20" t="s">
        <v>98</v>
      </c>
      <c r="D216" t="s">
        <v>57</v>
      </c>
      <c r="F216" t="str">
        <f t="shared" si="0"/>
        <v>Pérdida Reputacional</v>
      </c>
    </row>
    <row r="217" spans="1:8" ht="21" x14ac:dyDescent="0.35">
      <c r="A217" s="74"/>
      <c r="B217" s="20" t="s">
        <v>57</v>
      </c>
      <c r="C217" s="20" t="s">
        <v>100</v>
      </c>
      <c r="E217" t="s">
        <v>97</v>
      </c>
      <c r="F217" t="str">
        <f t="shared" si="0"/>
        <v xml:space="preserve">     El riesgo afecta la imagen de alguna área de la organización</v>
      </c>
    </row>
    <row r="218" spans="1:8" ht="21" x14ac:dyDescent="0.35">
      <c r="A218" s="74"/>
      <c r="B218" s="20" t="s">
        <v>57</v>
      </c>
      <c r="C218" s="20" t="s">
        <v>99</v>
      </c>
      <c r="E218" t="s">
        <v>98</v>
      </c>
      <c r="F218" t="str">
        <f t="shared" si="0"/>
        <v xml:space="preserve">     El riesgo afecta la imagen de la entidad internamente, de conocimiento general, nivel interno, de junta dircetiva y accionistas y/o de provedores</v>
      </c>
    </row>
    <row r="219" spans="1:8" ht="21" x14ac:dyDescent="0.35">
      <c r="A219" s="74"/>
      <c r="B219" s="20" t="s">
        <v>57</v>
      </c>
      <c r="C219" s="20" t="s">
        <v>116</v>
      </c>
      <c r="E219" t="s">
        <v>100</v>
      </c>
      <c r="F219" t="str">
        <f t="shared" si="0"/>
        <v xml:space="preserve">     El riesgo afecta la imagen de la entidad con algunos usuarios de relevancia frente al logro de los objetivos</v>
      </c>
    </row>
    <row r="220" spans="1:8" x14ac:dyDescent="0.25">
      <c r="A220" s="74"/>
      <c r="B220" s="21"/>
      <c r="C220" s="21"/>
      <c r="E220" t="s">
        <v>99</v>
      </c>
      <c r="F220" t="str">
        <f t="shared" si="0"/>
        <v xml:space="preserve">     El riesgo afecta la imagen de de la entidad con efecto publicitario sostenido a nivel de sector administrativo, nivel departamental o municipal</v>
      </c>
    </row>
    <row r="221" spans="1:8" x14ac:dyDescent="0.25">
      <c r="A221" s="74"/>
      <c r="B221" s="21" t="e" cm="1">
        <f t="array" aca="1" ref="B221:B223" ca="1">_xlfn.UNIQUE(Tabla1[[#All],[Criterios]])</f>
        <v>#NAME?</v>
      </c>
      <c r="C221" s="21"/>
      <c r="E221" t="s">
        <v>116</v>
      </c>
      <c r="F221" t="str">
        <f t="shared" si="0"/>
        <v xml:space="preserve">     El riesgo afecta la imagen de la entidad a nivel nacional, con efecto publicitarios sostenible a nivel país</v>
      </c>
    </row>
    <row r="222" spans="1:8" x14ac:dyDescent="0.25">
      <c r="A222" s="74"/>
      <c r="B222" s="21" t="e">
        <f ca="1"/>
        <v>#NAME?</v>
      </c>
      <c r="C222" s="21"/>
    </row>
    <row r="223" spans="1:8" x14ac:dyDescent="0.25">
      <c r="B223" s="21" t="e">
        <f ca="1"/>
        <v>#NAME?</v>
      </c>
      <c r="C223" s="21"/>
      <c r="F223" s="24" t="s">
        <v>145</v>
      </c>
    </row>
    <row r="224" spans="1:8" x14ac:dyDescent="0.25">
      <c r="B224" s="11"/>
      <c r="C224" s="11"/>
      <c r="F224" s="24" t="s">
        <v>146</v>
      </c>
    </row>
    <row r="225" spans="2:4" x14ac:dyDescent="0.25">
      <c r="B225" s="11"/>
      <c r="C225" s="11"/>
    </row>
    <row r="226" spans="2:4" x14ac:dyDescent="0.25">
      <c r="B226" s="11"/>
      <c r="C226" s="11"/>
    </row>
    <row r="227" spans="2:4" x14ac:dyDescent="0.25">
      <c r="B227" s="11"/>
      <c r="C227" s="11"/>
      <c r="D227" s="11"/>
    </row>
    <row r="228" spans="2:4" x14ac:dyDescent="0.25">
      <c r="B228" s="11"/>
      <c r="C228" s="11"/>
      <c r="D228" s="11"/>
    </row>
    <row r="229" spans="2:4" x14ac:dyDescent="0.25">
      <c r="B229" s="11"/>
      <c r="C229" s="11"/>
      <c r="D229" s="11"/>
    </row>
    <row r="230" spans="2:4" x14ac:dyDescent="0.25">
      <c r="B230" s="11"/>
      <c r="C230" s="11"/>
      <c r="D230" s="11"/>
    </row>
    <row r="231" spans="2:4" x14ac:dyDescent="0.25">
      <c r="B231" s="11"/>
      <c r="C231" s="11"/>
      <c r="D231" s="11"/>
    </row>
    <row r="232" spans="2:4" x14ac:dyDescent="0.25">
      <c r="B232" s="11"/>
      <c r="C232" s="11"/>
      <c r="D232" s="1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B1" sqref="B1:F1"/>
    </sheetView>
  </sheetViews>
  <sheetFormatPr baseColWidth="10" defaultColWidth="14.28515625" defaultRowHeight="12.75" x14ac:dyDescent="0.2"/>
  <cols>
    <col min="1" max="2" width="14.28515625" style="79"/>
    <col min="3" max="3" width="17" style="79" customWidth="1"/>
    <col min="4" max="4" width="14.28515625" style="79"/>
    <col min="5" max="5" width="46" style="79" customWidth="1"/>
    <col min="6" max="16384" width="14.28515625" style="79"/>
  </cols>
  <sheetData>
    <row r="1" spans="2:6" ht="24" customHeight="1" thickBot="1" x14ac:dyDescent="0.25">
      <c r="B1" s="374" t="s">
        <v>78</v>
      </c>
      <c r="C1" s="375"/>
      <c r="D1" s="375"/>
      <c r="E1" s="375"/>
      <c r="F1" s="376"/>
    </row>
    <row r="2" spans="2:6" ht="16.5" thickBot="1" x14ac:dyDescent="0.3">
      <c r="B2" s="80"/>
      <c r="C2" s="80"/>
      <c r="D2" s="80"/>
      <c r="E2" s="80"/>
      <c r="F2" s="80"/>
    </row>
    <row r="3" spans="2:6" ht="16.5" thickBot="1" x14ac:dyDescent="0.25">
      <c r="B3" s="378" t="s">
        <v>64</v>
      </c>
      <c r="C3" s="379"/>
      <c r="D3" s="379"/>
      <c r="E3" s="92" t="s">
        <v>65</v>
      </c>
      <c r="F3" s="93" t="s">
        <v>66</v>
      </c>
    </row>
    <row r="4" spans="2:6" ht="31.5" x14ac:dyDescent="0.2">
      <c r="B4" s="380" t="s">
        <v>67</v>
      </c>
      <c r="C4" s="382" t="s">
        <v>13</v>
      </c>
      <c r="D4" s="81" t="s">
        <v>14</v>
      </c>
      <c r="E4" s="82" t="s">
        <v>68</v>
      </c>
      <c r="F4" s="83">
        <v>0.25</v>
      </c>
    </row>
    <row r="5" spans="2:6" ht="47.25" x14ac:dyDescent="0.2">
      <c r="B5" s="381"/>
      <c r="C5" s="383"/>
      <c r="D5" s="84" t="s">
        <v>15</v>
      </c>
      <c r="E5" s="85" t="s">
        <v>69</v>
      </c>
      <c r="F5" s="86">
        <v>0.15</v>
      </c>
    </row>
    <row r="6" spans="2:6" ht="47.25" x14ac:dyDescent="0.2">
      <c r="B6" s="381"/>
      <c r="C6" s="383"/>
      <c r="D6" s="84" t="s">
        <v>16</v>
      </c>
      <c r="E6" s="85" t="s">
        <v>70</v>
      </c>
      <c r="F6" s="86">
        <v>0.1</v>
      </c>
    </row>
    <row r="7" spans="2:6" ht="63" x14ac:dyDescent="0.2">
      <c r="B7" s="381"/>
      <c r="C7" s="383" t="s">
        <v>17</v>
      </c>
      <c r="D7" s="84" t="s">
        <v>10</v>
      </c>
      <c r="E7" s="85" t="s">
        <v>71</v>
      </c>
      <c r="F7" s="86">
        <v>0.25</v>
      </c>
    </row>
    <row r="8" spans="2:6" ht="31.5" x14ac:dyDescent="0.2">
      <c r="B8" s="381"/>
      <c r="C8" s="383"/>
      <c r="D8" s="84" t="s">
        <v>9</v>
      </c>
      <c r="E8" s="85" t="s">
        <v>72</v>
      </c>
      <c r="F8" s="86">
        <v>0.15</v>
      </c>
    </row>
    <row r="9" spans="2:6" ht="47.25" x14ac:dyDescent="0.2">
      <c r="B9" s="381" t="s">
        <v>160</v>
      </c>
      <c r="C9" s="383" t="s">
        <v>18</v>
      </c>
      <c r="D9" s="84" t="s">
        <v>19</v>
      </c>
      <c r="E9" s="85" t="s">
        <v>73</v>
      </c>
      <c r="F9" s="87" t="s">
        <v>74</v>
      </c>
    </row>
    <row r="10" spans="2:6" ht="63" x14ac:dyDescent="0.2">
      <c r="B10" s="381"/>
      <c r="C10" s="383"/>
      <c r="D10" s="84" t="s">
        <v>20</v>
      </c>
      <c r="E10" s="85" t="s">
        <v>75</v>
      </c>
      <c r="F10" s="87" t="s">
        <v>74</v>
      </c>
    </row>
    <row r="11" spans="2:6" ht="47.25" x14ac:dyDescent="0.2">
      <c r="B11" s="381"/>
      <c r="C11" s="383" t="s">
        <v>21</v>
      </c>
      <c r="D11" s="84" t="s">
        <v>22</v>
      </c>
      <c r="E11" s="85" t="s">
        <v>76</v>
      </c>
      <c r="F11" s="87" t="s">
        <v>74</v>
      </c>
    </row>
    <row r="12" spans="2:6" ht="47.25" x14ac:dyDescent="0.2">
      <c r="B12" s="381"/>
      <c r="C12" s="383"/>
      <c r="D12" s="84" t="s">
        <v>23</v>
      </c>
      <c r="E12" s="85" t="s">
        <v>77</v>
      </c>
      <c r="F12" s="87" t="s">
        <v>74</v>
      </c>
    </row>
    <row r="13" spans="2:6" ht="31.5" x14ac:dyDescent="0.2">
      <c r="B13" s="381"/>
      <c r="C13" s="383" t="s">
        <v>24</v>
      </c>
      <c r="D13" s="84" t="s">
        <v>117</v>
      </c>
      <c r="E13" s="85" t="s">
        <v>120</v>
      </c>
      <c r="F13" s="87" t="s">
        <v>74</v>
      </c>
    </row>
    <row r="14" spans="2:6" ht="32.25" thickBot="1" x14ac:dyDescent="0.25">
      <c r="B14" s="384"/>
      <c r="C14" s="385"/>
      <c r="D14" s="88" t="s">
        <v>118</v>
      </c>
      <c r="E14" s="89" t="s">
        <v>119</v>
      </c>
      <c r="F14" s="90" t="s">
        <v>74</v>
      </c>
    </row>
    <row r="15" spans="2:6" ht="49.5" customHeight="1" x14ac:dyDescent="0.2">
      <c r="B15" s="377" t="s">
        <v>157</v>
      </c>
      <c r="C15" s="377"/>
      <c r="D15" s="377"/>
      <c r="E15" s="377"/>
      <c r="F15" s="377"/>
    </row>
    <row r="16" spans="2:6" ht="27" customHeight="1" x14ac:dyDescent="0.25">
      <c r="B16" s="9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86</v>
      </c>
    </row>
    <row r="9" spans="2:5" x14ac:dyDescent="0.25">
      <c r="B9" t="s">
        <v>40</v>
      </c>
    </row>
    <row r="10" spans="2:5" x14ac:dyDescent="0.25">
      <c r="B10" t="s">
        <v>41</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Administrador</cp:lastModifiedBy>
  <cp:lastPrinted>2020-05-13T01:12:22Z</cp:lastPrinted>
  <dcterms:created xsi:type="dcterms:W3CDTF">2020-03-24T23:12:47Z</dcterms:created>
  <dcterms:modified xsi:type="dcterms:W3CDTF">2024-01-26T16:06:49Z</dcterms:modified>
</cp:coreProperties>
</file>