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hidePivotFieldList="1" defaultThemeVersion="124226"/>
  <mc:AlternateContent xmlns:mc="http://schemas.openxmlformats.org/markup-compatibility/2006">
    <mc:Choice Requires="x15">
      <x15ac:absPath xmlns:x15ac="http://schemas.microsoft.com/office/spreadsheetml/2010/11/ac" url="C:\Users\lenovo\Desktop\ICTM\ADMINISTRACIÓN DEL RIESGO\Mapa de Riesgos\31 de Enero de 2023\"/>
    </mc:Choice>
  </mc:AlternateContent>
  <xr:revisionPtr revIDLastSave="0" documentId="13_ncr:1_{9522FA59-66C0-4C1F-9884-13F017106710}" xr6:coauthVersionLast="46" xr6:coauthVersionMax="46" xr10:uidLastSave="{00000000-0000-0000-0000-000000000000}"/>
  <bookViews>
    <workbookView xWindow="-120" yWindow="-120" windowWidth="20730" windowHeight="1116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81029"/>
  <pivotCaches>
    <pivotCache cacheId="0" r:id="rId10"/>
  </pivotCaches>
</workbook>
</file>

<file path=xl/calcChain.xml><?xml version="1.0" encoding="utf-8"?>
<calcChain xmlns="http://schemas.openxmlformats.org/spreadsheetml/2006/main">
  <c r="T29" i="1" l="1"/>
  <c r="Q29" i="1"/>
  <c r="X28" i="1"/>
  <c r="Y28" i="1" s="1"/>
  <c r="T28" i="1"/>
  <c r="Q28" i="1"/>
  <c r="T22" i="1"/>
  <c r="Q22" i="1"/>
  <c r="X22" i="1" s="1"/>
  <c r="Y22" i="1" s="1"/>
  <c r="G22" i="1"/>
  <c r="G16" i="1"/>
  <c r="AB27" i="1"/>
  <c r="AA27" i="1" s="1"/>
  <c r="X27" i="1"/>
  <c r="Y27" i="1" s="1"/>
  <c r="T27" i="1"/>
  <c r="Q27" i="1"/>
  <c r="K27" i="1"/>
  <c r="T26" i="1"/>
  <c r="Q26" i="1"/>
  <c r="K26" i="1"/>
  <c r="T25" i="1"/>
  <c r="Q25" i="1"/>
  <c r="AB26" i="1" s="1"/>
  <c r="AA26" i="1" s="1"/>
  <c r="K25" i="1"/>
  <c r="AB24" i="1"/>
  <c r="AA24" i="1"/>
  <c r="X24" i="1"/>
  <c r="Z24" i="1" s="1"/>
  <c r="T24" i="1"/>
  <c r="Q24" i="1"/>
  <c r="AB25" i="1" s="1"/>
  <c r="AA25" i="1" s="1"/>
  <c r="K24" i="1"/>
  <c r="AB23" i="1"/>
  <c r="AA23" i="1" s="1"/>
  <c r="T23" i="1"/>
  <c r="Q23" i="1"/>
  <c r="K23" i="1"/>
  <c r="H22" i="1"/>
  <c r="I22" i="1" s="1"/>
  <c r="T10" i="1"/>
  <c r="T11" i="1"/>
  <c r="T12" i="1"/>
  <c r="T13" i="1"/>
  <c r="Q10" i="1"/>
  <c r="H52" i="1"/>
  <c r="H46" i="1"/>
  <c r="H40" i="1"/>
  <c r="H34" i="1"/>
  <c r="H28" i="1"/>
  <c r="H16" i="1"/>
  <c r="H10" i="1"/>
  <c r="K50" i="1"/>
  <c r="K57" i="1"/>
  <c r="K42" i="1"/>
  <c r="K15" i="1"/>
  <c r="K44" i="1"/>
  <c r="K38" i="1"/>
  <c r="K43" i="1"/>
  <c r="K30" i="1"/>
  <c r="K56" i="1"/>
  <c r="K39" i="1"/>
  <c r="K31" i="1"/>
  <c r="K11" i="1"/>
  <c r="K47" i="1"/>
  <c r="K17" i="1"/>
  <c r="K21" i="1"/>
  <c r="K54" i="1"/>
  <c r="K18" i="1"/>
  <c r="K41" i="1"/>
  <c r="K49" i="1"/>
  <c r="K45" i="1"/>
  <c r="K37" i="1"/>
  <c r="K20" i="1"/>
  <c r="K51" i="1"/>
  <c r="K12" i="1"/>
  <c r="K19" i="1"/>
  <c r="K14" i="1"/>
  <c r="K55" i="1"/>
  <c r="K32" i="1"/>
  <c r="K13" i="1"/>
  <c r="K48" i="1"/>
  <c r="K36" i="1"/>
  <c r="K35" i="1"/>
  <c r="K53" i="1"/>
  <c r="K29" i="1"/>
  <c r="K33" i="1"/>
  <c r="X29" i="1" l="1"/>
  <c r="Y29" i="1" s="1"/>
  <c r="Z28" i="1"/>
  <c r="X23" i="1"/>
  <c r="Y23" i="1" s="1"/>
  <c r="AC23" i="1" s="1"/>
  <c r="AC27" i="1"/>
  <c r="Z22" i="1"/>
  <c r="Y24" i="1"/>
  <c r="AC24" i="1" s="1"/>
  <c r="X25" i="1"/>
  <c r="Z27" i="1"/>
  <c r="X26" i="1"/>
  <c r="F221" i="13"/>
  <c r="F211" i="13"/>
  <c r="F212" i="13"/>
  <c r="F213" i="13"/>
  <c r="F214" i="13"/>
  <c r="F215" i="13"/>
  <c r="F216" i="13"/>
  <c r="F217" i="13"/>
  <c r="F218" i="13"/>
  <c r="F219" i="13"/>
  <c r="F220" i="13"/>
  <c r="F210" i="13"/>
  <c r="B221" i="13" a="1"/>
  <c r="Z29" i="1" l="1"/>
  <c r="Z23" i="1"/>
  <c r="Z26" i="1"/>
  <c r="Y26" i="1"/>
  <c r="AC26" i="1" s="1"/>
  <c r="Y25" i="1"/>
  <c r="AC25" i="1" s="1"/>
  <c r="Z25" i="1"/>
  <c r="B221" i="13"/>
  <c r="Q40" i="1"/>
  <c r="Q35"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7" i="1" l="1"/>
  <c r="Q57" i="1"/>
  <c r="T56" i="1"/>
  <c r="Q56" i="1"/>
  <c r="T55" i="1"/>
  <c r="Q55" i="1"/>
  <c r="T54" i="1"/>
  <c r="Q54" i="1"/>
  <c r="T53" i="1"/>
  <c r="Q53" i="1"/>
  <c r="T52" i="1"/>
  <c r="Q52" i="1"/>
  <c r="I52" i="1"/>
  <c r="T51" i="1"/>
  <c r="Q51" i="1"/>
  <c r="T50" i="1"/>
  <c r="Q50" i="1"/>
  <c r="T49" i="1"/>
  <c r="Q49" i="1"/>
  <c r="T48" i="1"/>
  <c r="Q48" i="1"/>
  <c r="T47" i="1"/>
  <c r="Q47" i="1"/>
  <c r="T46" i="1"/>
  <c r="Q46" i="1"/>
  <c r="I46" i="1"/>
  <c r="T45" i="1"/>
  <c r="Q45" i="1"/>
  <c r="T44" i="1"/>
  <c r="Q44" i="1"/>
  <c r="T43" i="1"/>
  <c r="Q43" i="1"/>
  <c r="T42" i="1"/>
  <c r="Q42" i="1"/>
  <c r="T41" i="1"/>
  <c r="Q41" i="1"/>
  <c r="T40" i="1"/>
  <c r="I40" i="1"/>
  <c r="T39" i="1"/>
  <c r="Q39" i="1"/>
  <c r="T38" i="1"/>
  <c r="Q38" i="1"/>
  <c r="T37" i="1"/>
  <c r="Q37" i="1"/>
  <c r="T36" i="1"/>
  <c r="Q36" i="1"/>
  <c r="T35" i="1"/>
  <c r="T34" i="1"/>
  <c r="Q34" i="1"/>
  <c r="I34" i="1"/>
  <c r="T33" i="1"/>
  <c r="Q33" i="1"/>
  <c r="T32" i="1"/>
  <c r="Q32" i="1"/>
  <c r="T31" i="1"/>
  <c r="Q31" i="1"/>
  <c r="T30" i="1"/>
  <c r="Q30" i="1"/>
  <c r="I28" i="1"/>
  <c r="T21" i="1"/>
  <c r="Q21" i="1"/>
  <c r="T20" i="1"/>
  <c r="Q20" i="1"/>
  <c r="T19" i="1"/>
  <c r="Q19" i="1"/>
  <c r="T18" i="1"/>
  <c r="Q18" i="1"/>
  <c r="T17" i="1"/>
  <c r="Q17" i="1"/>
  <c r="T16" i="1"/>
  <c r="Q16" i="1"/>
  <c r="I16" i="1"/>
  <c r="T15" i="1"/>
  <c r="Q15" i="1"/>
  <c r="T14" i="1"/>
  <c r="Q14" i="1"/>
  <c r="Q13" i="1"/>
  <c r="Q12" i="1"/>
  <c r="Q11" i="1"/>
  <c r="I10" i="1"/>
  <c r="AB38" i="1" l="1"/>
  <c r="AA38" i="1" s="1"/>
  <c r="AB39" i="1"/>
  <c r="AA39" i="1" s="1"/>
  <c r="X52" i="1"/>
  <c r="X46" i="1"/>
  <c r="X40" i="1"/>
  <c r="X34" i="1"/>
  <c r="X38" i="1"/>
  <c r="X39" i="1"/>
  <c r="X16" i="1"/>
  <c r="X10" i="1"/>
  <c r="Y52" i="1" l="1"/>
  <c r="Z52" i="1"/>
  <c r="X53" i="1" s="1"/>
  <c r="Y53" i="1" s="1"/>
  <c r="Y46" i="1"/>
  <c r="Z46" i="1"/>
  <c r="X47" i="1" s="1"/>
  <c r="Z47" i="1" s="1"/>
  <c r="X48" i="1" s="1"/>
  <c r="Y40" i="1"/>
  <c r="Z40" i="1"/>
  <c r="X41" i="1" s="1"/>
  <c r="Z41" i="1" s="1"/>
  <c r="X42" i="1" s="1"/>
  <c r="Y39" i="1"/>
  <c r="Z39" i="1"/>
  <c r="Y38" i="1"/>
  <c r="Z38" i="1"/>
  <c r="Y34" i="1"/>
  <c r="Y16" i="1"/>
  <c r="Z16" i="1"/>
  <c r="Y10" i="1"/>
  <c r="Z10" i="1"/>
  <c r="X11" i="1" s="1"/>
  <c r="Y11" i="1" s="1"/>
  <c r="Y47" i="1" l="1"/>
  <c r="Y41" i="1"/>
  <c r="Z11" i="1"/>
  <c r="X12" i="1" s="1"/>
  <c r="Y12" i="1" s="1"/>
  <c r="Y30" i="1"/>
  <c r="Z48" i="1"/>
  <c r="X49" i="1" s="1"/>
  <c r="Y48" i="1"/>
  <c r="Z42" i="1"/>
  <c r="X43" i="1" s="1"/>
  <c r="Y42" i="1"/>
  <c r="Z53" i="1"/>
  <c r="X54" i="1" s="1"/>
  <c r="X17" i="1"/>
  <c r="X35" i="1"/>
  <c r="X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38" i="1"/>
  <c r="AC39" i="1"/>
  <c r="Y49" i="1" l="1"/>
  <c r="Z49" i="1"/>
  <c r="Y43" i="1"/>
  <c r="Z43" i="1"/>
  <c r="X44" i="1" s="1"/>
  <c r="Z12" i="1"/>
  <c r="X13" i="1" s="1"/>
  <c r="Z13" i="1" s="1"/>
  <c r="Y36" i="1"/>
  <c r="Z36" i="1"/>
  <c r="X37" i="1" s="1"/>
  <c r="Y54" i="1"/>
  <c r="Z54" i="1"/>
  <c r="X55" i="1" s="1"/>
  <c r="Y35" i="1"/>
  <c r="Z35" i="1"/>
  <c r="Y17" i="1"/>
  <c r="Z17" i="1"/>
  <c r="X18" i="1" s="1"/>
  <c r="Y18" i="1" s="1"/>
  <c r="Z18" i="1" l="1"/>
  <c r="X19" i="1" s="1"/>
  <c r="Z19" i="1" s="1"/>
  <c r="X20" i="1" s="1"/>
  <c r="Y44" i="1"/>
  <c r="Z44" i="1"/>
  <c r="X45" i="1" s="1"/>
  <c r="X50" i="1"/>
  <c r="X51" i="1"/>
  <c r="Y13" i="1"/>
  <c r="Y31" i="1"/>
  <c r="Y32" i="1"/>
  <c r="Y37" i="1"/>
  <c r="Z37" i="1"/>
  <c r="X14" i="1"/>
  <c r="Z55" i="1"/>
  <c r="Y55" i="1"/>
  <c r="Y19" i="1" l="1"/>
  <c r="Y51" i="1"/>
  <c r="Z51" i="1"/>
  <c r="Y50" i="1"/>
  <c r="Z50" i="1"/>
  <c r="Y45" i="1"/>
  <c r="Z45" i="1"/>
  <c r="X56" i="1"/>
  <c r="X57" i="1"/>
  <c r="Y33" i="1"/>
  <c r="Z20" i="1"/>
  <c r="X21" i="1" s="1"/>
  <c r="Y20" i="1"/>
  <c r="Y14" i="1"/>
  <c r="Z14" i="1"/>
  <c r="X15" i="1" s="1"/>
  <c r="Y15" i="1" s="1"/>
  <c r="Y57" i="1" l="1"/>
  <c r="Z57" i="1"/>
  <c r="Y56" i="1"/>
  <c r="Z56" i="1"/>
  <c r="Y21" i="1"/>
  <c r="Z21" i="1"/>
  <c r="Z15" i="1"/>
  <c r="AD38" i="18" l="1"/>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B54" i="1" l="1"/>
  <c r="AB41" i="1"/>
  <c r="AB36" i="19" l="1"/>
  <c r="AH16" i="19"/>
  <c r="P16" i="19"/>
  <c r="V46" i="19"/>
  <c r="J6" i="19"/>
  <c r="AB16" i="19"/>
  <c r="V26" i="19"/>
  <c r="V16" i="19"/>
  <c r="AB6" i="19"/>
  <c r="J26" i="19"/>
  <c r="P6" i="19"/>
  <c r="AH46" i="19"/>
  <c r="P46" i="19"/>
  <c r="AH26" i="19"/>
  <c r="AH36" i="19"/>
  <c r="V36" i="19"/>
  <c r="P36" i="19"/>
  <c r="V6" i="19"/>
  <c r="AH6" i="19"/>
  <c r="AB46" i="19"/>
  <c r="AB26" i="19"/>
  <c r="J16" i="19"/>
  <c r="P26" i="19"/>
  <c r="J36" i="19"/>
  <c r="J46"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53" i="1"/>
  <c r="AA53" i="1" s="1"/>
  <c r="AA54" i="1"/>
  <c r="AB55" i="1"/>
  <c r="AB18" i="1"/>
  <c r="AB36" i="1"/>
  <c r="AA36" i="1" s="1"/>
  <c r="AB37" i="1"/>
  <c r="AA37" i="1" s="1"/>
  <c r="AA41" i="1"/>
  <c r="AB42" i="1"/>
  <c r="AB48"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55" i="1"/>
  <c r="AB56" i="1"/>
  <c r="K35" i="19"/>
  <c r="AC25" i="19"/>
  <c r="K45" i="19"/>
  <c r="AI45" i="19"/>
  <c r="W45" i="19"/>
  <c r="Q35" i="19"/>
  <c r="K55" i="19"/>
  <c r="AC15" i="19"/>
  <c r="Q15" i="19"/>
  <c r="AC35" i="19"/>
  <c r="AI35" i="19"/>
  <c r="Q55" i="19"/>
  <c r="AI25" i="19"/>
  <c r="AC53" i="1"/>
  <c r="AC55" i="19"/>
  <c r="W15" i="19"/>
  <c r="K15" i="19"/>
  <c r="W25" i="19"/>
  <c r="AC45" i="19"/>
  <c r="Q25" i="19"/>
  <c r="W55" i="19"/>
  <c r="K25" i="19"/>
  <c r="Q45" i="19"/>
  <c r="W35" i="19"/>
  <c r="AI55" i="19"/>
  <c r="AI15" i="19"/>
  <c r="AD55" i="19"/>
  <c r="R15" i="19"/>
  <c r="AJ35" i="19"/>
  <c r="AC54" i="1"/>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36" i="1"/>
  <c r="AD12" i="19"/>
  <c r="AD32" i="19"/>
  <c r="AD22" i="19"/>
  <c r="X52" i="19"/>
  <c r="AD52" i="19"/>
  <c r="L42" i="19"/>
  <c r="R42" i="19"/>
  <c r="AA42" i="1"/>
  <c r="AB4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48" i="1"/>
  <c r="AB49" i="1"/>
  <c r="K23" i="19"/>
  <c r="AI43" i="19"/>
  <c r="AC43" i="19"/>
  <c r="AC53" i="19"/>
  <c r="W43" i="19"/>
  <c r="K13" i="19"/>
  <c r="Q53" i="19"/>
  <c r="AI53" i="19"/>
  <c r="K33" i="19"/>
  <c r="K43" i="19"/>
  <c r="AI33" i="19"/>
  <c r="AC33" i="19"/>
  <c r="AC41" i="1"/>
  <c r="Q33" i="19"/>
  <c r="AI23" i="19"/>
  <c r="K53" i="19"/>
  <c r="AC23" i="19"/>
  <c r="AC13" i="19"/>
  <c r="W23" i="19"/>
  <c r="W33" i="19"/>
  <c r="Q13" i="19"/>
  <c r="W13" i="19"/>
  <c r="AI13" i="19"/>
  <c r="Q43" i="19"/>
  <c r="Q23" i="19"/>
  <c r="W53" i="19"/>
  <c r="M12" i="19"/>
  <c r="AK42" i="19"/>
  <c r="AE32" i="19"/>
  <c r="AC37" i="1"/>
  <c r="M52" i="19"/>
  <c r="S12" i="19"/>
  <c r="M32" i="19"/>
  <c r="S52" i="19"/>
  <c r="Y52" i="19"/>
  <c r="Y42" i="19"/>
  <c r="AK12" i="19"/>
  <c r="S22" i="19"/>
  <c r="AE12" i="19"/>
  <c r="Y22" i="19"/>
  <c r="S32" i="19"/>
  <c r="AK52" i="19"/>
  <c r="M22" i="19"/>
  <c r="AK32" i="19"/>
  <c r="AE22" i="19"/>
  <c r="AE42" i="19"/>
  <c r="Y32" i="19"/>
  <c r="M42" i="19"/>
  <c r="Y12" i="19"/>
  <c r="AE52" i="19"/>
  <c r="AK22" i="19"/>
  <c r="S42" i="19"/>
  <c r="AB33" i="1"/>
  <c r="AA33" i="1" s="1"/>
  <c r="AA18" i="1"/>
  <c r="AB19" i="1"/>
  <c r="R40" i="19" l="1"/>
  <c r="AD10" i="19"/>
  <c r="X40" i="19"/>
  <c r="AJ10" i="19"/>
  <c r="R50" i="19"/>
  <c r="X10" i="19"/>
  <c r="R30" i="19"/>
  <c r="AC18" i="1"/>
  <c r="L10" i="19"/>
  <c r="L50" i="19"/>
  <c r="AJ20" i="19"/>
  <c r="AJ40" i="19"/>
  <c r="AD30" i="19"/>
  <c r="R20" i="19"/>
  <c r="AD50" i="19"/>
  <c r="AJ30" i="19"/>
  <c r="AJ50" i="19"/>
  <c r="X30" i="19"/>
  <c r="AD20" i="19"/>
  <c r="L40" i="19"/>
  <c r="X50" i="19"/>
  <c r="X20" i="19"/>
  <c r="AD40" i="19"/>
  <c r="R10" i="19"/>
  <c r="L30" i="19"/>
  <c r="L20" i="19"/>
  <c r="AA43" i="1"/>
  <c r="AB44" i="1"/>
  <c r="AA56" i="1"/>
  <c r="AB57" i="1"/>
  <c r="AA57"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B14" i="1"/>
  <c r="AA14" i="1" s="1"/>
  <c r="AB15" i="1"/>
  <c r="AA15" i="1" s="1"/>
  <c r="AJ43" i="19"/>
  <c r="AD33" i="19"/>
  <c r="X33" i="19"/>
  <c r="X13" i="19"/>
  <c r="AD43" i="19"/>
  <c r="L43" i="19"/>
  <c r="AC42" i="1"/>
  <c r="X23" i="19"/>
  <c r="R33" i="19"/>
  <c r="R43" i="19"/>
  <c r="AD53" i="19"/>
  <c r="AJ13" i="19"/>
  <c r="R23" i="19"/>
  <c r="R13" i="19"/>
  <c r="AJ53" i="19"/>
  <c r="L33" i="19"/>
  <c r="L23" i="19"/>
  <c r="X43" i="19"/>
  <c r="X53" i="19"/>
  <c r="AD13" i="19"/>
  <c r="L53" i="19"/>
  <c r="L13" i="19"/>
  <c r="AD23" i="19"/>
  <c r="AJ33" i="19"/>
  <c r="AJ23" i="19"/>
  <c r="R53" i="19"/>
  <c r="M55" i="19"/>
  <c r="AK15" i="19"/>
  <c r="AE25" i="19"/>
  <c r="AC55" i="1"/>
  <c r="Y35" i="19"/>
  <c r="M25" i="19"/>
  <c r="S55" i="19"/>
  <c r="S45" i="19"/>
  <c r="S35" i="19"/>
  <c r="M15" i="19"/>
  <c r="AE45" i="19"/>
  <c r="Y15" i="19"/>
  <c r="AK45" i="19"/>
  <c r="AE55" i="19"/>
  <c r="M35" i="19"/>
  <c r="M45" i="19"/>
  <c r="S25" i="19"/>
  <c r="AK35" i="19"/>
  <c r="Y25" i="19"/>
  <c r="AE15" i="19"/>
  <c r="Y45" i="19"/>
  <c r="AE35" i="19"/>
  <c r="AK25" i="19"/>
  <c r="Y55" i="19"/>
  <c r="S15" i="19"/>
  <c r="AK55"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33" i="1"/>
  <c r="AG11" i="19"/>
  <c r="AM41" i="19"/>
  <c r="AA21" i="19"/>
  <c r="AA51" i="19"/>
  <c r="U51" i="19"/>
  <c r="U31" i="19"/>
  <c r="AA11" i="19"/>
  <c r="AG21" i="19"/>
  <c r="O31" i="19"/>
  <c r="AA49" i="1"/>
  <c r="AB50"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19" i="1"/>
  <c r="AB20" i="1"/>
  <c r="L54" i="19"/>
  <c r="AJ14" i="19"/>
  <c r="AD44" i="19"/>
  <c r="X54" i="19"/>
  <c r="R14" i="19"/>
  <c r="AD24" i="19"/>
  <c r="AD34" i="19"/>
  <c r="R54" i="19"/>
  <c r="L34" i="19"/>
  <c r="AJ34" i="19"/>
  <c r="X24" i="19"/>
  <c r="AJ24" i="19"/>
  <c r="X44" i="19"/>
  <c r="R24" i="19"/>
  <c r="AC48" i="1"/>
  <c r="X34" i="19"/>
  <c r="L14" i="19"/>
  <c r="AD14" i="19"/>
  <c r="L44" i="19"/>
  <c r="R44" i="19"/>
  <c r="AD54" i="19"/>
  <c r="X14" i="19"/>
  <c r="AJ44" i="19"/>
  <c r="R34" i="19"/>
  <c r="AJ54" i="19"/>
  <c r="L24" i="19"/>
  <c r="AA20" i="1" l="1"/>
  <c r="AB21" i="1"/>
  <c r="AA21" i="1" s="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49"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AA55" i="19"/>
  <c r="O45" i="19"/>
  <c r="AA15" i="19"/>
  <c r="AM55" i="19"/>
  <c r="O55" i="19"/>
  <c r="AG35" i="19"/>
  <c r="AM25" i="19"/>
  <c r="AM35" i="19"/>
  <c r="AA25" i="19"/>
  <c r="AM45" i="19"/>
  <c r="AG25" i="19"/>
  <c r="AA35" i="19"/>
  <c r="O25" i="19"/>
  <c r="U25" i="19"/>
  <c r="AG45" i="19"/>
  <c r="U35" i="19"/>
  <c r="AA45" i="19"/>
  <c r="AM15" i="19"/>
  <c r="U45" i="19"/>
  <c r="O35" i="19"/>
  <c r="O15" i="19"/>
  <c r="AC57" i="1"/>
  <c r="AG15" i="19"/>
  <c r="U15" i="19"/>
  <c r="AG55" i="19"/>
  <c r="U55" i="19"/>
  <c r="AE40" i="19"/>
  <c r="Y30" i="19"/>
  <c r="M20" i="19"/>
  <c r="AC1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C14"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56"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44" i="1"/>
  <c r="AB45" i="1"/>
  <c r="AA45"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50" i="1"/>
  <c r="AB51" i="1"/>
  <c r="AA51" i="1" s="1"/>
  <c r="O8" i="19"/>
  <c r="AA48" i="19"/>
  <c r="AM38" i="19"/>
  <c r="U48" i="19"/>
  <c r="AA18" i="19"/>
  <c r="AG18" i="19"/>
  <c r="AG48" i="19"/>
  <c r="AM18" i="19"/>
  <c r="AA28" i="19"/>
  <c r="AG28" i="19"/>
  <c r="AA8" i="19"/>
  <c r="U18" i="19"/>
  <c r="AG38" i="19"/>
  <c r="U38" i="19"/>
  <c r="AM8" i="19"/>
  <c r="AA38" i="19"/>
  <c r="AM48" i="19"/>
  <c r="U28" i="19"/>
  <c r="O38" i="19"/>
  <c r="U8" i="19"/>
  <c r="AG8" i="19"/>
  <c r="AC15"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43"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51" i="1"/>
  <c r="AA14" i="19"/>
  <c r="O54" i="19"/>
  <c r="U44" i="19"/>
  <c r="U43" i="19"/>
  <c r="U13" i="19"/>
  <c r="AM53" i="19"/>
  <c r="AA53" i="19"/>
  <c r="AA43" i="19"/>
  <c r="O53" i="19"/>
  <c r="O23" i="19"/>
  <c r="O13" i="19"/>
  <c r="AG43" i="19"/>
  <c r="U33" i="19"/>
  <c r="U23" i="19"/>
  <c r="AM13" i="19"/>
  <c r="AM23" i="19"/>
  <c r="AG13" i="19"/>
  <c r="AA23" i="19"/>
  <c r="AG33" i="19"/>
  <c r="AA33" i="19"/>
  <c r="AM33" i="19"/>
  <c r="AA13" i="19"/>
  <c r="AC45"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50" i="1"/>
  <c r="AF53" i="19"/>
  <c r="T43" i="19"/>
  <c r="Z53" i="19"/>
  <c r="N43" i="19"/>
  <c r="T23" i="19"/>
  <c r="AF43" i="19"/>
  <c r="Z13" i="19"/>
  <c r="Z43" i="19"/>
  <c r="AF23" i="19"/>
  <c r="AL13" i="19"/>
  <c r="Z23" i="19"/>
  <c r="AL43" i="19"/>
  <c r="AF13" i="19"/>
  <c r="AL23" i="19"/>
  <c r="N13" i="19"/>
  <c r="T33" i="19"/>
  <c r="AL53" i="19"/>
  <c r="N23" i="19"/>
  <c r="N53" i="19"/>
  <c r="AF33" i="19"/>
  <c r="N33" i="19"/>
  <c r="AC44"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2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2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22" i="1" l="1"/>
  <c r="L22" i="1" s="1"/>
  <c r="M22" i="1" s="1"/>
  <c r="AB22" i="1" s="1"/>
  <c r="AA22" i="1" s="1"/>
  <c r="AC22" i="1" s="1"/>
  <c r="K28" i="1"/>
  <c r="L28" i="1" s="1"/>
  <c r="K10" i="1"/>
  <c r="L10" i="1" s="1"/>
  <c r="K40" i="1"/>
  <c r="L40" i="1" s="1"/>
  <c r="K34" i="1"/>
  <c r="L34" i="1" s="1"/>
  <c r="K16" i="1"/>
  <c r="L16" i="1" s="1"/>
  <c r="K52" i="1"/>
  <c r="L52" i="1" s="1"/>
  <c r="K46" i="1"/>
  <c r="L46" i="1" s="1"/>
  <c r="N22" i="1" l="1"/>
  <c r="Z42" i="18"/>
  <c r="AF34" i="18"/>
  <c r="N42" i="18"/>
  <c r="AL10" i="18"/>
  <c r="AF26" i="18"/>
  <c r="N18" i="18"/>
  <c r="N26" i="18"/>
  <c r="N10" i="18"/>
  <c r="AF18" i="18"/>
  <c r="AL34" i="18"/>
  <c r="T10" i="18"/>
  <c r="AL42" i="18"/>
  <c r="N34" i="18"/>
  <c r="AF10" i="18"/>
  <c r="N46" i="1"/>
  <c r="T34" i="18"/>
  <c r="Z34" i="18"/>
  <c r="T18" i="18"/>
  <c r="AF42" i="18"/>
  <c r="Z18" i="18"/>
  <c r="AL26" i="18"/>
  <c r="T42" i="18"/>
  <c r="Z10" i="18"/>
  <c r="T26" i="18"/>
  <c r="AL18" i="18"/>
  <c r="Z26" i="18"/>
  <c r="M46" i="1"/>
  <c r="AB46" i="1" s="1"/>
  <c r="AA46" i="1" s="1"/>
  <c r="J20" i="18"/>
  <c r="AB28" i="18"/>
  <c r="N52" i="1"/>
  <c r="P44" i="18"/>
  <c r="V20" i="18"/>
  <c r="AB44" i="18"/>
  <c r="P20" i="18"/>
  <c r="V28" i="18"/>
  <c r="AH28" i="18"/>
  <c r="V36" i="18"/>
  <c r="M52" i="1"/>
  <c r="AB52" i="1" s="1"/>
  <c r="AA52" i="1" s="1"/>
  <c r="J28" i="18"/>
  <c r="AB36" i="18"/>
  <c r="AH36" i="18"/>
  <c r="AB20" i="18"/>
  <c r="AH12" i="18"/>
  <c r="J44" i="18"/>
  <c r="P28" i="18"/>
  <c r="P12" i="18"/>
  <c r="AH20" i="18"/>
  <c r="AB12" i="18"/>
  <c r="J12" i="18"/>
  <c r="P36" i="18"/>
  <c r="V44" i="18"/>
  <c r="J36" i="18"/>
  <c r="V12" i="18"/>
  <c r="AH44" i="18"/>
  <c r="L16" i="18"/>
  <c r="L8" i="18"/>
  <c r="R32" i="18"/>
  <c r="R8" i="18"/>
  <c r="AJ32" i="18"/>
  <c r="X40" i="18"/>
  <c r="L24" i="18"/>
  <c r="N16" i="1"/>
  <c r="X8" i="18"/>
  <c r="R40" i="18"/>
  <c r="X16" i="18"/>
  <c r="AJ40" i="18"/>
  <c r="AD40" i="18"/>
  <c r="L32" i="18"/>
  <c r="AD24" i="18"/>
  <c r="X24" i="18"/>
  <c r="AJ8" i="18"/>
  <c r="AJ24" i="18"/>
  <c r="R24" i="18"/>
  <c r="R16" i="18"/>
  <c r="AD16" i="18"/>
  <c r="AJ16" i="18"/>
  <c r="X32" i="18"/>
  <c r="AD8" i="18"/>
  <c r="AD32" i="18"/>
  <c r="M16" i="1"/>
  <c r="AB16" i="1" s="1"/>
  <c r="L40" i="18"/>
  <c r="J18" i="18"/>
  <c r="V34" i="18"/>
  <c r="AH10" i="18"/>
  <c r="M34" i="1"/>
  <c r="AB34" i="1" s="1"/>
  <c r="AA34" i="1" s="1"/>
  <c r="AH18" i="18"/>
  <c r="P18" i="18"/>
  <c r="AB34" i="18"/>
  <c r="P26" i="18"/>
  <c r="P34" i="18"/>
  <c r="AB10" i="18"/>
  <c r="P10" i="18"/>
  <c r="AH26" i="18"/>
  <c r="N34" i="1"/>
  <c r="AB26" i="18"/>
  <c r="J10" i="18"/>
  <c r="AB18" i="18"/>
  <c r="V26" i="18"/>
  <c r="AH34" i="18"/>
  <c r="J26" i="18"/>
  <c r="V10" i="18"/>
  <c r="J34" i="18"/>
  <c r="AH42" i="18"/>
  <c r="V18" i="18"/>
  <c r="V42" i="18"/>
  <c r="AB42" i="18"/>
  <c r="P42" i="18"/>
  <c r="J42" i="18"/>
  <c r="X42" i="18"/>
  <c r="AD10" i="18"/>
  <c r="AJ26" i="18"/>
  <c r="L42" i="18"/>
  <c r="X18" i="18"/>
  <c r="R18" i="18"/>
  <c r="AD42" i="18"/>
  <c r="R26" i="18"/>
  <c r="L18" i="18"/>
  <c r="AJ18" i="18"/>
  <c r="L34" i="18"/>
  <c r="R10" i="18"/>
  <c r="L10" i="18"/>
  <c r="X26" i="18"/>
  <c r="N40" i="1"/>
  <c r="R42" i="18"/>
  <c r="X10" i="18"/>
  <c r="X34" i="18"/>
  <c r="AD18" i="18"/>
  <c r="AD34" i="18"/>
  <c r="AD26" i="18"/>
  <c r="L26" i="18"/>
  <c r="AJ10" i="18"/>
  <c r="AJ34" i="18"/>
  <c r="M40" i="1"/>
  <c r="AB40" i="1" s="1"/>
  <c r="R34" i="18"/>
  <c r="AJ42" i="18"/>
  <c r="AL38" i="18"/>
  <c r="T38" i="18"/>
  <c r="AL14" i="18"/>
  <c r="Z14" i="18"/>
  <c r="M10" i="1"/>
  <c r="AB10" i="1" s="1"/>
  <c r="AF22" i="18"/>
  <c r="AF6" i="18"/>
  <c r="N38" i="18"/>
  <c r="AL22" i="18"/>
  <c r="Z30" i="18"/>
  <c r="AF30" i="18"/>
  <c r="T30" i="18"/>
  <c r="AL6" i="18"/>
  <c r="Z38" i="18"/>
  <c r="Z6" i="18"/>
  <c r="AF14" i="18"/>
  <c r="N10" i="1"/>
  <c r="N30" i="18"/>
  <c r="T14" i="18"/>
  <c r="N14" i="18"/>
  <c r="T22" i="18"/>
  <c r="N22" i="18"/>
  <c r="N6" i="18"/>
  <c r="AF38" i="18"/>
  <c r="AL30" i="18"/>
  <c r="T6" i="18"/>
  <c r="Z22" i="18"/>
  <c r="AB40" i="18"/>
  <c r="AB24" i="18"/>
  <c r="J24" i="18"/>
  <c r="P32" i="18"/>
  <c r="P24" i="18"/>
  <c r="AB8" i="18"/>
  <c r="AB16" i="18"/>
  <c r="P40" i="18"/>
  <c r="AH24" i="18"/>
  <c r="V32" i="18"/>
  <c r="AB32" i="18"/>
  <c r="V8" i="18"/>
  <c r="J32" i="18"/>
  <c r="AH16" i="18"/>
  <c r="V16" i="18"/>
  <c r="V40" i="18"/>
  <c r="AH40" i="18"/>
  <c r="J40" i="18"/>
  <c r="AH32" i="18"/>
  <c r="J16" i="18"/>
  <c r="V24" i="18"/>
  <c r="P16" i="18"/>
  <c r="AH8" i="18"/>
  <c r="J8" i="18"/>
  <c r="P8" i="18"/>
  <c r="N24" i="18"/>
  <c r="T16" i="18"/>
  <c r="AL16" i="18"/>
  <c r="T24" i="18"/>
  <c r="AL32" i="18"/>
  <c r="Z24" i="18"/>
  <c r="AL40" i="18"/>
  <c r="AF16" i="18"/>
  <c r="AF8" i="18"/>
  <c r="AF40" i="18"/>
  <c r="AL8" i="18"/>
  <c r="N28" i="1"/>
  <c r="Z16" i="18"/>
  <c r="N32" i="18"/>
  <c r="N40" i="18"/>
  <c r="T8" i="18"/>
  <c r="N8" i="18"/>
  <c r="AF24" i="18"/>
  <c r="Z8" i="18"/>
  <c r="M28" i="1"/>
  <c r="AB28" i="1" s="1"/>
  <c r="AB35" i="1" s="1"/>
  <c r="AA35" i="1" s="1"/>
  <c r="AF32" i="18"/>
  <c r="N16" i="18"/>
  <c r="T40" i="18"/>
  <c r="Z40" i="18"/>
  <c r="AL24" i="18"/>
  <c r="T32" i="18"/>
  <c r="Z32" i="18"/>
  <c r="AA40" i="1" l="1"/>
  <c r="P43" i="19" s="1"/>
  <c r="AB47" i="1"/>
  <c r="AA47" i="1" s="1"/>
  <c r="AH34" i="19"/>
  <c r="V14" i="19"/>
  <c r="J14" i="19"/>
  <c r="AB34" i="19"/>
  <c r="V44" i="19"/>
  <c r="J44" i="19"/>
  <c r="AH44" i="19"/>
  <c r="V24" i="19"/>
  <c r="P44" i="19"/>
  <c r="P54" i="19"/>
  <c r="AB54" i="19"/>
  <c r="J54" i="19"/>
  <c r="AH24" i="19"/>
  <c r="P14" i="19"/>
  <c r="P34" i="19"/>
  <c r="J24" i="19"/>
  <c r="AB14" i="19"/>
  <c r="AC46" i="1"/>
  <c r="V54" i="19"/>
  <c r="AB44" i="19"/>
  <c r="AB24" i="19"/>
  <c r="P24" i="19"/>
  <c r="AH14" i="19"/>
  <c r="AH54" i="19"/>
  <c r="V34" i="19"/>
  <c r="J34" i="19"/>
  <c r="V13" i="19"/>
  <c r="P33" i="19"/>
  <c r="V23" i="19"/>
  <c r="AC40" i="1"/>
  <c r="V43" i="19"/>
  <c r="AB43" i="19"/>
  <c r="AH33" i="19"/>
  <c r="AC32" i="19"/>
  <c r="Q32" i="19"/>
  <c r="AC42" i="19"/>
  <c r="AI42" i="19"/>
  <c r="AI32" i="19"/>
  <c r="AC35" i="1"/>
  <c r="AC22" i="19"/>
  <c r="AI12" i="19"/>
  <c r="AC12" i="19"/>
  <c r="AI52" i="19"/>
  <c r="Q22" i="19"/>
  <c r="Q12" i="19"/>
  <c r="K42" i="19"/>
  <c r="K22" i="19"/>
  <c r="W52" i="19"/>
  <c r="W12" i="19"/>
  <c r="K52" i="19"/>
  <c r="W42" i="19"/>
  <c r="K12" i="19"/>
  <c r="W32" i="19"/>
  <c r="K32" i="19"/>
  <c r="AC52" i="19"/>
  <c r="AI22" i="19"/>
  <c r="W22" i="19"/>
  <c r="Q42" i="19"/>
  <c r="Q52" i="19"/>
  <c r="J32" i="19"/>
  <c r="V22" i="19"/>
  <c r="AH42" i="19"/>
  <c r="AB32" i="19"/>
  <c r="V52" i="19"/>
  <c r="P22" i="19"/>
  <c r="AH32" i="19"/>
  <c r="V32" i="19"/>
  <c r="AB52" i="19"/>
  <c r="J52" i="19"/>
  <c r="P32" i="19"/>
  <c r="AB42" i="19"/>
  <c r="AB22" i="19"/>
  <c r="P12" i="19"/>
  <c r="J22" i="19"/>
  <c r="V12" i="19"/>
  <c r="P42" i="19"/>
  <c r="AC34" i="1"/>
  <c r="AH12" i="19"/>
  <c r="AB12" i="19"/>
  <c r="V42" i="19"/>
  <c r="AH52" i="19"/>
  <c r="P52" i="19"/>
  <c r="J12" i="19"/>
  <c r="J42" i="19"/>
  <c r="AH22" i="19"/>
  <c r="AA28" i="1"/>
  <c r="AC28" i="1" s="1"/>
  <c r="AB29" i="1"/>
  <c r="AA29" i="1" s="1"/>
  <c r="AC29" i="1" s="1"/>
  <c r="AA10" i="1"/>
  <c r="AB11" i="1"/>
  <c r="AA11" i="1" s="1"/>
  <c r="AA16" i="1"/>
  <c r="AB17" i="1"/>
  <c r="AA17" i="1" s="1"/>
  <c r="AH25" i="19"/>
  <c r="AB15" i="19"/>
  <c r="P45" i="19"/>
  <c r="J35" i="19"/>
  <c r="J15" i="19"/>
  <c r="AH45" i="19"/>
  <c r="AB35" i="19"/>
  <c r="P25" i="19"/>
  <c r="AH15" i="19"/>
  <c r="J55" i="19"/>
  <c r="AB55" i="19"/>
  <c r="AB25" i="19"/>
  <c r="J45" i="19"/>
  <c r="P35" i="19"/>
  <c r="AH35" i="19"/>
  <c r="P55" i="19"/>
  <c r="V45" i="19"/>
  <c r="AB45" i="19"/>
  <c r="AH55" i="19"/>
  <c r="P15" i="19"/>
  <c r="V15" i="19"/>
  <c r="V25" i="19"/>
  <c r="J25" i="19"/>
  <c r="V35" i="19"/>
  <c r="AC52" i="1"/>
  <c r="V55" i="19"/>
  <c r="J13" i="19" l="1"/>
  <c r="AB33" i="19"/>
  <c r="J53" i="19"/>
  <c r="AH53" i="19"/>
  <c r="AB53" i="19"/>
  <c r="AH13" i="19"/>
  <c r="AH43" i="19"/>
  <c r="P23" i="19"/>
  <c r="V33" i="19"/>
  <c r="J33" i="19"/>
  <c r="AH23" i="19"/>
  <c r="J43" i="19"/>
  <c r="AB13" i="19"/>
  <c r="P13" i="19"/>
  <c r="V53" i="19"/>
  <c r="J23" i="19"/>
  <c r="P53" i="19"/>
  <c r="AB23" i="19"/>
  <c r="Q54" i="19"/>
  <c r="AC44" i="19"/>
  <c r="K24" i="19"/>
  <c r="W44" i="19"/>
  <c r="K44" i="19"/>
  <c r="W54" i="19"/>
  <c r="K34" i="19"/>
  <c r="W14" i="19"/>
  <c r="AC47" i="1"/>
  <c r="AC14" i="19"/>
  <c r="Q24" i="19"/>
  <c r="K54" i="19"/>
  <c r="AC24" i="19"/>
  <c r="Q44" i="19"/>
  <c r="Q34" i="19"/>
  <c r="Q14" i="19"/>
  <c r="AI14" i="19"/>
  <c r="AI34" i="19"/>
  <c r="AI44" i="19"/>
  <c r="AC54" i="19"/>
  <c r="W34" i="19"/>
  <c r="AC34" i="19"/>
  <c r="AI54" i="19"/>
  <c r="W24" i="19"/>
  <c r="AI24" i="19"/>
  <c r="K14" i="19"/>
  <c r="W9" i="19"/>
  <c r="AB12" i="1"/>
  <c r="AB13" i="1" s="1"/>
  <c r="AA13" i="1" s="1"/>
  <c r="AB39" i="19"/>
  <c r="P19" i="19"/>
  <c r="P39" i="19"/>
  <c r="P29" i="19"/>
  <c r="J39" i="19"/>
  <c r="AH49" i="19"/>
  <c r="V49" i="19"/>
  <c r="AB29" i="19"/>
  <c r="AH39" i="19"/>
  <c r="P9" i="19"/>
  <c r="V19" i="19"/>
  <c r="AB9" i="19"/>
  <c r="AH19" i="19"/>
  <c r="V39" i="19"/>
  <c r="AH29" i="19"/>
  <c r="V9" i="19"/>
  <c r="AB19" i="19"/>
  <c r="AH9" i="19"/>
  <c r="J9" i="19"/>
  <c r="J29" i="19"/>
  <c r="J49" i="19"/>
  <c r="J19" i="19"/>
  <c r="V29" i="19"/>
  <c r="P49" i="19"/>
  <c r="AB49" i="19"/>
  <c r="AC40" i="19"/>
  <c r="AI40" i="19"/>
  <c r="W10" i="19"/>
  <c r="W40" i="19"/>
  <c r="AC50" i="19"/>
  <c r="K20" i="19"/>
  <c r="Q10" i="19"/>
  <c r="AC10" i="19"/>
  <c r="Q40" i="19"/>
  <c r="Q30" i="19"/>
  <c r="AI10" i="19"/>
  <c r="K50" i="19"/>
  <c r="W50" i="19"/>
  <c r="AC20" i="19"/>
  <c r="K40" i="19"/>
  <c r="AI30" i="19"/>
  <c r="W20" i="19"/>
  <c r="Q50" i="19"/>
  <c r="AC30" i="19"/>
  <c r="W30" i="19"/>
  <c r="AC17" i="1"/>
  <c r="Q20" i="19"/>
  <c r="AI50" i="19"/>
  <c r="AI20" i="19"/>
  <c r="K10" i="19"/>
  <c r="K30" i="19"/>
  <c r="J40" i="19"/>
  <c r="J10" i="19"/>
  <c r="V30" i="19"/>
  <c r="AB20" i="19"/>
  <c r="AH20" i="19"/>
  <c r="AH50" i="19"/>
  <c r="J30" i="19"/>
  <c r="AC16" i="1"/>
  <c r="V20" i="19"/>
  <c r="V10" i="19"/>
  <c r="AH10" i="19"/>
  <c r="P20" i="19"/>
  <c r="P10" i="19"/>
  <c r="J20" i="19"/>
  <c r="AB50" i="19"/>
  <c r="P40" i="19"/>
  <c r="J50" i="19"/>
  <c r="V40" i="19"/>
  <c r="AB40" i="19"/>
  <c r="AB30" i="19"/>
  <c r="AB10" i="19"/>
  <c r="P30" i="19"/>
  <c r="V50" i="19"/>
  <c r="P50" i="19"/>
  <c r="AH40" i="19"/>
  <c r="AH30" i="19"/>
  <c r="AH51" i="19"/>
  <c r="AH41" i="19"/>
  <c r="AH11" i="19"/>
  <c r="P41" i="19"/>
  <c r="J41" i="19"/>
  <c r="J21" i="19"/>
  <c r="P11" i="19"/>
  <c r="AH31" i="19"/>
  <c r="J51" i="19"/>
  <c r="AB31" i="19"/>
  <c r="AB41" i="19"/>
  <c r="AB51" i="19"/>
  <c r="P31" i="19"/>
  <c r="P21" i="19"/>
  <c r="V41" i="19"/>
  <c r="V31" i="19"/>
  <c r="AH21" i="19"/>
  <c r="J11" i="19"/>
  <c r="AB11" i="19"/>
  <c r="V11" i="19"/>
  <c r="P51" i="19"/>
  <c r="AB21" i="19"/>
  <c r="V21" i="19"/>
  <c r="J31" i="19"/>
  <c r="V51" i="19"/>
  <c r="AI28" i="19"/>
  <c r="AI38" i="19"/>
  <c r="K8" i="19"/>
  <c r="Q18" i="19"/>
  <c r="Q8" i="19"/>
  <c r="W48" i="19"/>
  <c r="W28" i="19"/>
  <c r="K28" i="19"/>
  <c r="W18" i="19"/>
  <c r="Q28" i="19"/>
  <c r="W8" i="19"/>
  <c r="AC11" i="1"/>
  <c r="K38" i="19"/>
  <c r="AC28" i="19"/>
  <c r="AC8" i="19"/>
  <c r="AI18" i="19"/>
  <c r="Q48" i="19"/>
  <c r="K18" i="19"/>
  <c r="AC18" i="19"/>
  <c r="AI8" i="19"/>
  <c r="K48" i="19"/>
  <c r="AC38" i="19"/>
  <c r="AC48" i="19"/>
  <c r="AI48" i="19"/>
  <c r="W38" i="19"/>
  <c r="Q38" i="19"/>
  <c r="AB30" i="1"/>
  <c r="K29" i="19"/>
  <c r="AH38" i="19"/>
  <c r="J18" i="19"/>
  <c r="J48" i="19"/>
  <c r="V8" i="19"/>
  <c r="J38" i="19"/>
  <c r="P28" i="19"/>
  <c r="P8" i="19"/>
  <c r="AH28" i="19"/>
  <c r="AB28" i="19"/>
  <c r="AB48" i="19"/>
  <c r="V38" i="19"/>
  <c r="P48" i="19"/>
  <c r="AH48" i="19"/>
  <c r="AB8" i="19"/>
  <c r="V48" i="19"/>
  <c r="V28" i="19"/>
  <c r="AB38" i="19"/>
  <c r="AC10" i="1"/>
  <c r="AB18" i="19"/>
  <c r="AH8" i="19"/>
  <c r="AH18" i="19"/>
  <c r="V18" i="19"/>
  <c r="P18" i="19"/>
  <c r="P38" i="19"/>
  <c r="J8" i="19"/>
  <c r="J28" i="19"/>
  <c r="Q19" i="19" l="1"/>
  <c r="W19" i="19"/>
  <c r="AI29" i="19"/>
  <c r="Q49" i="19"/>
  <c r="K19" i="19"/>
  <c r="W29" i="19"/>
  <c r="AC49" i="19"/>
  <c r="AC29" i="19"/>
  <c r="K49" i="19"/>
  <c r="AC19" i="19"/>
  <c r="AC39" i="19"/>
  <c r="Q39" i="19"/>
  <c r="AI9" i="19"/>
  <c r="Q9" i="19"/>
  <c r="AI39" i="19"/>
  <c r="K9" i="19"/>
  <c r="AI49" i="19"/>
  <c r="Q29" i="19"/>
  <c r="AI19" i="19"/>
  <c r="K39" i="19"/>
  <c r="W49" i="19"/>
  <c r="AC9" i="19"/>
  <c r="W39" i="19"/>
  <c r="R39" i="19"/>
  <c r="AD39" i="19"/>
  <c r="X29" i="19"/>
  <c r="AD9" i="19"/>
  <c r="AJ39" i="19"/>
  <c r="AD49" i="19"/>
  <c r="X49" i="19"/>
  <c r="L9" i="19"/>
  <c r="AJ19" i="19"/>
  <c r="R9" i="19"/>
  <c r="R29" i="19"/>
  <c r="X39" i="19"/>
  <c r="AJ49" i="19"/>
  <c r="AJ29" i="19"/>
  <c r="L19" i="19"/>
  <c r="L29" i="19"/>
  <c r="AD19" i="19"/>
  <c r="X9" i="19"/>
  <c r="X19" i="19"/>
  <c r="R19" i="19"/>
  <c r="AJ9" i="19"/>
  <c r="R49" i="19"/>
  <c r="AD29" i="19"/>
  <c r="L49" i="19"/>
  <c r="L39" i="19"/>
  <c r="AA12" i="1"/>
  <c r="L28" i="19" s="1"/>
  <c r="S48" i="19"/>
  <c r="AE18" i="19"/>
  <c r="S28" i="19"/>
  <c r="M28" i="19"/>
  <c r="S38" i="19"/>
  <c r="Y38" i="19"/>
  <c r="AE28" i="19"/>
  <c r="AE38" i="19"/>
  <c r="M18" i="19"/>
  <c r="S18" i="19"/>
  <c r="M38" i="19"/>
  <c r="Y8" i="19"/>
  <c r="Y28" i="19"/>
  <c r="AC13" i="1"/>
  <c r="AE8" i="19"/>
  <c r="AK48" i="19"/>
  <c r="Y48" i="19"/>
  <c r="AK38" i="19"/>
  <c r="AE48" i="19"/>
  <c r="S8" i="19"/>
  <c r="AK18" i="19"/>
  <c r="M8" i="19"/>
  <c r="Y18" i="19"/>
  <c r="M48" i="19"/>
  <c r="AK28" i="19"/>
  <c r="AK8" i="19"/>
  <c r="AI41" i="19"/>
  <c r="K51" i="19"/>
  <c r="W11" i="19"/>
  <c r="K21" i="19"/>
  <c r="Q51" i="19"/>
  <c r="AI31" i="19"/>
  <c r="W21" i="19"/>
  <c r="Q41" i="19"/>
  <c r="AC11" i="19"/>
  <c r="K11" i="19"/>
  <c r="AI51" i="19"/>
  <c r="AC31" i="19"/>
  <c r="W41" i="19"/>
  <c r="AC51" i="19"/>
  <c r="K41" i="19"/>
  <c r="W31" i="19"/>
  <c r="AI11" i="19"/>
  <c r="Q11" i="19"/>
  <c r="AC41" i="19"/>
  <c r="AI21" i="19"/>
  <c r="AC21" i="19"/>
  <c r="Q31" i="19"/>
  <c r="K31" i="19"/>
  <c r="W51" i="19"/>
  <c r="Q21" i="19"/>
  <c r="AA30" i="1"/>
  <c r="AB31" i="1"/>
  <c r="AJ8" i="19" l="1"/>
  <c r="X8" i="19"/>
  <c r="R18" i="19"/>
  <c r="X18" i="19"/>
  <c r="L48" i="19"/>
  <c r="AD18" i="19"/>
  <c r="L18" i="19"/>
  <c r="AD28" i="19"/>
  <c r="R8" i="19"/>
  <c r="X48" i="19"/>
  <c r="R28" i="19"/>
  <c r="AJ48" i="19"/>
  <c r="AJ28" i="19"/>
  <c r="X38" i="19"/>
  <c r="R38" i="19"/>
  <c r="L38" i="19"/>
  <c r="AD38" i="19"/>
  <c r="AJ38" i="19"/>
  <c r="L8" i="19"/>
  <c r="AC12" i="1"/>
  <c r="AD48" i="19"/>
  <c r="R48" i="19"/>
  <c r="AD8" i="19"/>
  <c r="X28" i="19"/>
  <c r="AJ18" i="19"/>
  <c r="AA31" i="1"/>
  <c r="AB32" i="1"/>
  <c r="AA32" i="1" s="1"/>
  <c r="AD11" i="19"/>
  <c r="AD21" i="19"/>
  <c r="L21" i="19"/>
  <c r="L51" i="19"/>
  <c r="L11" i="19"/>
  <c r="X51" i="19"/>
  <c r="X21" i="19"/>
  <c r="R11" i="19"/>
  <c r="AJ21" i="19"/>
  <c r="AD51" i="19"/>
  <c r="L41" i="19"/>
  <c r="R31" i="19"/>
  <c r="AJ41" i="19"/>
  <c r="L31" i="19"/>
  <c r="R41" i="19"/>
  <c r="AD31" i="19"/>
  <c r="R51" i="19"/>
  <c r="AC30" i="1"/>
  <c r="R21" i="19"/>
  <c r="X31" i="19"/>
  <c r="AD41" i="19"/>
  <c r="X11" i="19"/>
  <c r="AJ11" i="19"/>
  <c r="X41" i="19"/>
  <c r="AJ51" i="19"/>
  <c r="AJ31" i="19"/>
  <c r="Z31" i="19" l="1"/>
  <c r="T41" i="19"/>
  <c r="N21" i="19"/>
  <c r="AF41" i="19"/>
  <c r="N31" i="19"/>
  <c r="AL11" i="19"/>
  <c r="T31" i="19"/>
  <c r="T11" i="19"/>
  <c r="AF11" i="19"/>
  <c r="T21" i="19"/>
  <c r="AL41" i="19"/>
  <c r="AC32" i="1"/>
  <c r="AL21" i="19"/>
  <c r="Z11" i="19"/>
  <c r="Z21" i="19"/>
  <c r="AL31" i="19"/>
  <c r="AF31" i="19"/>
  <c r="AL51" i="19"/>
  <c r="T51" i="19"/>
  <c r="N11" i="19"/>
  <c r="N51" i="19"/>
  <c r="AF51" i="19"/>
  <c r="Z41" i="19"/>
  <c r="N41" i="19"/>
  <c r="AF21" i="19"/>
  <c r="Z51" i="19"/>
  <c r="Y11" i="19"/>
  <c r="M31" i="19"/>
  <c r="AE41" i="19"/>
  <c r="AE21" i="19"/>
  <c r="S51" i="19"/>
  <c r="AE51" i="19"/>
  <c r="AE31" i="19"/>
  <c r="S41" i="19"/>
  <c r="AK41" i="19"/>
  <c r="AK31" i="19"/>
  <c r="AE11" i="19"/>
  <c r="AK51" i="19"/>
  <c r="S11" i="19"/>
  <c r="Y41" i="19"/>
  <c r="M21" i="19"/>
  <c r="M41" i="19"/>
  <c r="AK21" i="19"/>
  <c r="Y21" i="19"/>
  <c r="AC31" i="1"/>
  <c r="M11" i="19"/>
  <c r="S31" i="19"/>
  <c r="AK11" i="19"/>
  <c r="M51" i="19"/>
  <c r="Y31" i="19"/>
  <c r="Y51" i="19"/>
  <c r="S21"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<sst xmlns="http://schemas.openxmlformats.org/spreadsheetml/2006/main" count="421" uniqueCount="251">
  <si>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</si>
  <si>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</si>
  <si>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</si>
  <si>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</si>
  <si>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</si>
  <si>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</si>
  <si>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</si>
  <si>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</si>
  <si>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</si>
  <si>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</si>
  <si>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</si>
  <si>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</si>
  <si>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</si>
  <si>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</si>
  <si>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</si>
  <si>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</si>
  <si>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</si>
  <si>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</si>
  <si>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</si>
  <si>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</si>
  <si>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</si>
  <si>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</si>
  <si>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</si>
  <si>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</si>
  <si>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</si>
  <si>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</si>
  <si>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</si>
  <si>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</si>
  <si>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</si>
  <si>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</si>
  <si>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</si>
  <si>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</si>
  <si>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</si>
  <si>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</si>
  <si>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</si>
  <si>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</si>
  <si>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</si>
  <si>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</si>
  <si>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</si>
  <si>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</si>
  <si>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</si>
  <si>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</si>
  <si>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</si>
  <si>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</si>
  <si>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</si>
  <si>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</si>
  <si>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</si>
  <si>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</si>
  <si>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</si>
  <si>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</si>
  <si>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</si>
  <si>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</si>
  <si>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</si>
  <si>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</si>
  <si>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</si>
  <si>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</si>
  <si>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</si>
  <si>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</si>
  <si>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</si>
  <si>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</si>
  <si>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</si>
  <si>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</si>
  <si>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</si>
  <si>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</si>
  <si>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</si>
  <si>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</si>
  <si>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</si>
  <si>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</si>
  <si>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</si>
  <si>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</si>
  <si>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</si>
  <si>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</si>
  <si>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</si>
  <si>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</si>
  <si>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</si>
  <si>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</si>
  <si>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</si>
  <si>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</si>
  <si>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</si>
  <si>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</si>
  <si>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</si>
  <si>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</si>
  <si>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</si>
  <si>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</si>
  <si>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</si>
  <si>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</si>
  <si>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</si>
  <si>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</si>
  <si>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</si>
  <si>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</si>
  <si>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</si>
  <si>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</si>
  <si>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</si>
  <si>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</si>
  <si>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</si>
  <si>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</si>
  <si>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</si>
  <si>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</si>
  <si>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</si>
  <si>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</si>
  <si>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</si>
  <si>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</si>
  <si>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</si>
  <si>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</si>
  <si>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</si>
  <si>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</si>
  <si>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</si>
  <si>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</si>
  <si>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</si>
  <si>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</si>
  <si>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</si>
  <si>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</si>
  <si>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</si>
  <si>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</si>
  <si>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</si>
  <si>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</si>
  <si>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</si>
  <si>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</si>
  <si>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</si>
  <si>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</si>
  <si>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</si>
  <si>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</si>
  <si>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</si>
  <si>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</si>
  <si>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</si>
  <si>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</si>
  <si>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</si>
  <si>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</si>
  <si>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</si>
  <si>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</si>
  <si>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</si>
  <si>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</si>
  <si>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</si>
  <si>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</si>
  <si>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</si>
  <si>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</si>
  <si>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</si>
  <si>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</si>
  <si>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</si>
  <si>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</si>
  <si>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</si>
  <si>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</si>
  <si>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</si>
  <si>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</si>
  <si>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</si>
  <si>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</si>
  <si>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</si>
  <si>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</si>
  <si>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</si>
  <si>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</si>
  <si>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</si>
  <si>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</si>
  <si>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</si>
  <si>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</si>
  <si>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</si>
  <si>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</si>
  <si>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</si>
  <si>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</si>
  <si>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</si>
  <si>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</si>
  <si>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</si>
  <si>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</si>
  <si>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</si>
  <si>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</si>
  <si>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</si>
  <si>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</si>
  <si>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</si>
  <si>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</si>
  <si>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</si>
  <si>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</si>
  <si>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</si>
  <si>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</si>
  <si>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</si>
  <si>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</si>
  <si>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</si>
  <si>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</si>
  <si>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</si>
  <si>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</si>
  <si>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</si>
  <si>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</si>
  <si>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</si>
  <si>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</si>
  <si>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</si>
  <si>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</si>
  <si>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</si>
  <si>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</si>
  <si>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</si>
  <si>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</si>
  <si>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</si>
  <si>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</si>
  <si>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</si>
  <si>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</si>
  <si>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</si>
  <si>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</si>
  <si>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</si>
  <si>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</si>
  <si>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</si>
  <si>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</si>
  <si>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</si>
  <si>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</si>
  <si>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</si>
  <si>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</si>
  <si>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</si>
  <si>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</si>
  <si>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</si>
  <si>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</si>
  <si>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</si>
  <si>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</si>
  <si>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</si>
  <si>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</si>
  <si>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</si>
  <si>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</si>
  <si>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La actividad que conlleva el riesgo se ejecuta como máximo 2 veces por año</t>
  </si>
  <si>
    <t>La actividad que conlleva el riesgo se ejecuta de 4 a 24 veces por año</t>
  </si>
  <si>
    <t>Entre 10 y 50 SMLMV</t>
  </si>
  <si>
    <t>Gestión Financiera</t>
  </si>
  <si>
    <t>Optimizar y procesar de manera correcta los recursos y hechos económicos del Instituto de Cultura y Turismo, garantizando el acceso a la información y velando por la sostenibilidad de las finanzas.</t>
  </si>
  <si>
    <t xml:space="preserve">Comprende el ciclo completo de la ejecución Presupuestal, las operaciones de la Contabilidad y los servicios financieros reglamentarios para dar cumplimiento al Régimen de Contabilidad Pública </t>
  </si>
  <si>
    <t>Realizar pagos sin tener flujo de caja del convenio especifico</t>
  </si>
  <si>
    <t xml:space="preserve">Asignación de compromisos sin tener la fuente asegurada </t>
  </si>
  <si>
    <t xml:space="preserve">Detrimento patrimonial </t>
  </si>
  <si>
    <t xml:space="preserve">Posibilidad de afectación económica por el detrimento patrimonial causado por la realización de pagos dobles y/o la realización de pagos por cuantías superiores o inferiores </t>
  </si>
  <si>
    <t xml:space="preserve">Realización de pagos dobles y/o la realización de pagos por cuantías superiores o inferiores </t>
  </si>
  <si>
    <t xml:space="preserve">El profesional universitario de tesorería realiza la revisión de los bancos y en el pago que la cuantía corresponda y el pago se realice una única vez </t>
  </si>
  <si>
    <t xml:space="preserve">Pérdida de la imagen institucional </t>
  </si>
  <si>
    <t>Generar errores en la aplicación de pagos de cartera en la identificación del tercero</t>
  </si>
  <si>
    <t xml:space="preserve">Posibilidad de afectación reputacional por la pérdida de la imagen institucional al generar errores en la aplicación de pagos de cartera en la identificación del tercero </t>
  </si>
  <si>
    <t xml:space="preserve">No pago de los servicios públicos en las sedes externas que administra el ICTM </t>
  </si>
  <si>
    <t xml:space="preserve">Posibilidad de afectación reputacional por el no pago de los servicios públicos en las sedes externas que administra el ICTM </t>
  </si>
  <si>
    <t xml:space="preserve">Realizar recorrido semanal por las sedes externas con el fin de recoger las facturas de servicios públicos y entregar a tesorería para el pago oportuno </t>
  </si>
  <si>
    <t xml:space="preserve">No existen controles </t>
  </si>
  <si>
    <t xml:space="preserve">El profesional universitario de tesorería presentó solicitud a los bancos de referenciar las cuentas de terceros con el fin de identificar con cédula de ciudadanía y aplicar el pago correctamente </t>
  </si>
  <si>
    <t xml:space="preserve">El profesional universitario de tesorería lleva el control de gasto de los convenios y le pasa a la dependencia específica de la Alcaldía las cuentas por pagar pendientes del convenio para que desde allá se gire y se realicen los pagos específicos a ese convenio </t>
  </si>
  <si>
    <t xml:space="preserve">El profesional universitario de tesorería proyecta los gastos fijos y la caja necesaria a 15 días con el fin de garantizar la disponibilidad de caja para el pago de las necesidades y obligaciones institucionales </t>
  </si>
  <si>
    <t xml:space="preserve">Crear el procedimiento para el trámite de cuentas en el Instituto de Cultura y Turismo de Manizales </t>
  </si>
  <si>
    <t>Gerencia</t>
  </si>
  <si>
    <t>30 de junio de 2023</t>
  </si>
  <si>
    <t xml:space="preserve">Tesorería, Secretaría General </t>
  </si>
  <si>
    <t xml:space="preserve">Posibilidad de afectación económica por el detrimento patrimonial causado por la realización de pagos sin tener el flujo decaja del convenio específico </t>
  </si>
  <si>
    <t xml:space="preserve">Posibilidad de afectación económica por el detrimento patrimonial causado por la asignación de compromisos sin tener la fuente asegurada </t>
  </si>
  <si>
    <t xml:space="preserve">El profesional universitario de financiera asigna certificados de disponibilidad presupuestal y compromisos presupuestales una vez se suscriban los convenios y/o contratos que respalden el ingreso </t>
  </si>
  <si>
    <t xml:space="preserve">El profesional universitario de financiera a través de los informes presupuestales, analiza el equilibrio presupuestal  de la entidad a través de los recaudos vs compromisos y el recaudo vs las obligaciones adquiridas </t>
  </si>
  <si>
    <t xml:space="preserve">Imposición de multas y/o sanciones </t>
  </si>
  <si>
    <t xml:space="preserve">Inoportunidad en la presentación y pago de los impuestos municipales y nacionales </t>
  </si>
  <si>
    <t xml:space="preserve">Imposición de multas, sanciones e intereses moratorios de los entes de control </t>
  </si>
  <si>
    <t xml:space="preserve">Posibilidad de afectación económica por la imposición de multas, sanciones e intereses moratorios de los entes de control debido a la inoportunidad en la presentación y pago de los impuestos municipales y nacionales </t>
  </si>
  <si>
    <t xml:space="preserve">El profesional univerrsitario de financiero con el profesional universitario de tesorería, crean un flujo de caja de manera mensual, con el fin de provisionar los recursos para pagar los impuestos de la entidad </t>
  </si>
  <si>
    <t xml:space="preserve">Incumplimiento de los términos perentorios de los informes exigidos por los entes de control </t>
  </si>
  <si>
    <t xml:space="preserve">Posibilidad de afectación económica por la imposición de multas y/o sanciones debido al incumplimiento de los términos perentorios de los informes exigidos por los entes de control </t>
  </si>
  <si>
    <t xml:space="preserve">El contador de la entidad establece un calendario tributario, con el fin de estar pendiente de los términos para presentar cada informe </t>
  </si>
  <si>
    <t xml:space="preserve">La profesional universitaria de control interno envía de manera anual un comunicado con las fechas y términos para presentación de informes de cada área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</si>
</sst>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color rgb="FFFF000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9">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6" fillId="0" borderId="0" xfId="0" applyFont="1"/>
    <xf numFmtId="0" fontId="14"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20" fillId="11" borderId="11"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2" borderId="13"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4" xfId="0" applyFont="1" applyFill="1" applyBorder="1" applyAlignment="1" applyProtection="1">
      <alignment horizont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4" fillId="13" borderId="18" xfId="0" applyFont="1" applyFill="1" applyBorder="1" applyAlignment="1" applyProtection="1">
      <alignment horizontal="center" wrapText="1" readingOrder="1"/>
      <protection hidden="1"/>
    </xf>
    <xf numFmtId="0" fontId="0" fillId="3" borderId="0" xfId="0" applyFill="1"/>
    <xf numFmtId="0" fontId="50" fillId="3" borderId="50" xfId="2" applyFont="1" applyFill="1" applyBorder="1"/>
    <xf numFmtId="0" fontId="50" fillId="3" borderId="51" xfId="2" applyFont="1" applyFill="1" applyBorder="1"/>
    <xf numFmtId="0" fontId="50" fillId="3" borderId="52"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42" xfId="0" applyNumberFormat="1"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9" fillId="3" borderId="32" xfId="0" applyFont="1" applyFill="1" applyBorder="1" applyAlignment="1">
      <alignment horizontal="justify" vertical="center" wrapText="1" readingOrder="1"/>
    </xf>
    <xf numFmtId="9" fontId="38" fillId="3" borderId="37" xfId="0" applyNumberFormat="1" applyFont="1" applyFill="1" applyBorder="1" applyAlignment="1">
      <alignment horizontal="center" vertical="center" wrapText="1" readingOrder="1"/>
    </xf>
    <xf numFmtId="0" fontId="39" fillId="3" borderId="37"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9" fillId="3" borderId="39" xfId="0" applyFont="1" applyFill="1" applyBorder="1" applyAlignment="1">
      <alignment horizontal="justify" vertical="center" wrapText="1" readingOrder="1"/>
    </xf>
    <xf numFmtId="0" fontId="39" fillId="3" borderId="40" xfId="0" applyFont="1" applyFill="1" applyBorder="1" applyAlignment="1">
      <alignment horizontal="center" vertical="center" wrapText="1" readingOrder="1"/>
    </xf>
    <xf numFmtId="0" fontId="47" fillId="3" borderId="0" xfId="0" applyFont="1" applyFill="1"/>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3"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4" xfId="2" applyFont="1" applyFill="1" applyBorder="1"/>
    <xf numFmtId="0" fontId="50" fillId="3" borderId="15" xfId="2" applyFont="1" applyFill="1" applyBorder="1"/>
    <xf numFmtId="0" fontId="50" fillId="3" borderId="17" xfId="2" applyFont="1" applyFill="1" applyBorder="1"/>
    <xf numFmtId="0" fontId="50" fillId="3" borderId="16"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3"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4" xfId="2" quotePrefix="1" applyFont="1" applyFill="1" applyBorder="1" applyAlignment="1">
      <alignment horizontal="left" vertical="top" wrapText="1"/>
    </xf>
    <xf numFmtId="0" fontId="10" fillId="6" borderId="34" xfId="0" applyFont="1" applyFill="1" applyBorder="1" applyAlignment="1">
      <alignment horizontal="center" vertical="center" wrapText="1" readingOrder="1"/>
    </xf>
    <xf numFmtId="0" fontId="10" fillId="6" borderId="74" xfId="0" applyFont="1" applyFill="1" applyBorder="1" applyAlignment="1">
      <alignment horizontal="center" vertical="center" wrapText="1" readingOrder="1"/>
    </xf>
    <xf numFmtId="9" fontId="11" fillId="0" borderId="75" xfId="0" applyNumberFormat="1" applyFont="1" applyBorder="1" applyAlignment="1">
      <alignment horizontal="center" vertical="center" wrapText="1" readingOrder="1"/>
    </xf>
    <xf numFmtId="9" fontId="11" fillId="0" borderId="76" xfId="0" applyNumberFormat="1" applyFont="1" applyBorder="1" applyAlignment="1">
      <alignment horizontal="center" vertical="center" wrapText="1" readingOrder="1"/>
    </xf>
    <xf numFmtId="9" fontId="11" fillId="0" borderId="77" xfId="0" applyNumberFormat="1" applyFont="1" applyBorder="1" applyAlignment="1">
      <alignment horizontal="center" vertical="center" wrapText="1" readingOrder="1"/>
    </xf>
    <xf numFmtId="0" fontId="11" fillId="0" borderId="48" xfId="0" applyFont="1" applyBorder="1" applyAlignment="1">
      <alignment horizontal="justify" vertical="center" wrapText="1" readingOrder="1"/>
    </xf>
    <xf numFmtId="0" fontId="11" fillId="0" borderId="78" xfId="0" applyFont="1" applyBorder="1" applyAlignment="1">
      <alignment horizontal="justify" vertical="center" wrapText="1" readingOrder="1"/>
    </xf>
    <xf numFmtId="0" fontId="11" fillId="0" borderId="79" xfId="0" applyFont="1" applyBorder="1" applyAlignment="1">
      <alignment horizontal="justify" vertical="center" wrapText="1" readingOrder="1"/>
    </xf>
    <xf numFmtId="0" fontId="11" fillId="5" borderId="75" xfId="0" applyFont="1" applyFill="1" applyBorder="1" applyAlignment="1">
      <alignment horizontal="center" vertical="center" wrapText="1" readingOrder="1"/>
    </xf>
    <xf numFmtId="0" fontId="11" fillId="7" borderId="76" xfId="0" applyFont="1" applyFill="1" applyBorder="1" applyAlignment="1">
      <alignment horizontal="center" vertical="center" wrapText="1" readingOrder="1"/>
    </xf>
    <xf numFmtId="0" fontId="11" fillId="4" borderId="76" xfId="0" applyFont="1" applyFill="1" applyBorder="1" applyAlignment="1">
      <alignment horizontal="center" vertical="center" wrapText="1" readingOrder="1"/>
    </xf>
    <xf numFmtId="0" fontId="11" fillId="8" borderId="76" xfId="0" applyFont="1" applyFill="1" applyBorder="1" applyAlignment="1">
      <alignment horizontal="center" vertical="center" wrapText="1" readingOrder="1"/>
    </xf>
    <xf numFmtId="0" fontId="12" fillId="9" borderId="77" xfId="0" applyFont="1" applyFill="1" applyBorder="1" applyAlignment="1">
      <alignment horizontal="center" vertical="center" wrapText="1" readingOrder="1"/>
    </xf>
    <xf numFmtId="0" fontId="34" fillId="5" borderId="47" xfId="0" applyFont="1" applyFill="1" applyBorder="1" applyAlignment="1">
      <alignment horizontal="center" vertical="center" wrapText="1" readingOrder="1"/>
    </xf>
    <xf numFmtId="0" fontId="34" fillId="7" borderId="80" xfId="0" applyFont="1" applyFill="1" applyBorder="1" applyAlignment="1">
      <alignment horizontal="center" vertical="center" wrapText="1" readingOrder="1"/>
    </xf>
    <xf numFmtId="0" fontId="34" fillId="4" borderId="80" xfId="0" applyFont="1" applyFill="1" applyBorder="1" applyAlignment="1">
      <alignment horizontal="center" vertical="center" wrapText="1" readingOrder="1"/>
    </xf>
    <xf numFmtId="0" fontId="34" fillId="8" borderId="80" xfId="0" applyFont="1" applyFill="1" applyBorder="1" applyAlignment="1">
      <alignment horizontal="center" vertical="center" wrapText="1" readingOrder="1"/>
    </xf>
    <xf numFmtId="0" fontId="35" fillId="9" borderId="81" xfId="0" applyFont="1" applyFill="1" applyBorder="1" applyAlignment="1">
      <alignment horizontal="center" vertical="center" wrapText="1" readingOrder="1"/>
    </xf>
    <xf numFmtId="0" fontId="34" fillId="0" borderId="76" xfId="0" applyFont="1" applyBorder="1" applyAlignment="1">
      <alignment horizontal="center" vertical="center" wrapText="1" readingOrder="1"/>
    </xf>
    <xf numFmtId="0" fontId="34" fillId="0" borderId="77" xfId="0" applyFont="1" applyBorder="1" applyAlignment="1">
      <alignment horizontal="center" vertical="center" wrapText="1" readingOrder="1"/>
    </xf>
    <xf numFmtId="0" fontId="34" fillId="0" borderId="76" xfId="0" applyFont="1" applyBorder="1" applyAlignment="1">
      <alignment horizontal="justify" vertical="center" wrapText="1" readingOrder="1"/>
    </xf>
    <xf numFmtId="0" fontId="34" fillId="0" borderId="77" xfId="0" applyFont="1" applyBorder="1" applyAlignment="1">
      <alignment horizontal="justify" vertical="center" wrapText="1" readingOrder="1"/>
    </xf>
    <xf numFmtId="0" fontId="34" fillId="0" borderId="82" xfId="0" applyFont="1" applyBorder="1" applyAlignment="1">
      <alignment horizontal="center" vertical="center" wrapText="1" readingOrder="1"/>
    </xf>
    <xf numFmtId="0" fontId="34" fillId="0" borderId="82" xfId="0" applyFont="1" applyBorder="1" applyAlignment="1">
      <alignment horizontal="justify" vertical="center" wrapText="1" readingOrder="1"/>
    </xf>
    <xf numFmtId="0" fontId="33" fillId="6" borderId="74" xfId="0" applyFont="1" applyFill="1" applyBorder="1" applyAlignment="1">
      <alignment horizontal="center" vertical="center" wrapText="1" readingOrder="1"/>
    </xf>
    <xf numFmtId="164" fontId="1" fillId="0" borderId="2" xfId="1" applyNumberFormat="1" applyFont="1" applyFill="1" applyBorder="1" applyAlignment="1">
      <alignment horizontal="center" vertical="center"/>
    </xf>
    <xf numFmtId="0" fontId="59"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wrapText="1"/>
      <protection locked="0"/>
    </xf>
    <xf numFmtId="0" fontId="56" fillId="3" borderId="63" xfId="2" applyFont="1" applyFill="1" applyBorder="1" applyAlignment="1">
      <alignment horizontal="justify" vertical="center" wrapText="1"/>
    </xf>
    <xf numFmtId="0" fontId="56" fillId="3" borderId="64"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57" xfId="3" applyFont="1" applyFill="1" applyBorder="1" applyAlignment="1">
      <alignment horizontal="left" vertical="top" wrapText="1" readingOrder="1"/>
    </xf>
    <xf numFmtId="0" fontId="55" fillId="3" borderId="58" xfId="3" applyFont="1" applyFill="1" applyBorder="1" applyAlignment="1">
      <alignment horizontal="left" vertical="top" wrapText="1" readingOrder="1"/>
    </xf>
    <xf numFmtId="0" fontId="56" fillId="3" borderId="59" xfId="2" applyFont="1" applyFill="1" applyBorder="1" applyAlignment="1">
      <alignment horizontal="justify" vertical="center" wrapText="1"/>
    </xf>
    <xf numFmtId="0" fontId="56" fillId="3" borderId="60" xfId="2" applyFont="1" applyFill="1" applyBorder="1" applyAlignment="1">
      <alignment horizontal="justify" vertical="center" wrapText="1"/>
    </xf>
    <xf numFmtId="0" fontId="55" fillId="3" borderId="61" xfId="0" applyFont="1" applyFill="1" applyBorder="1" applyAlignment="1">
      <alignment horizontal="left" vertical="center" wrapText="1"/>
    </xf>
    <xf numFmtId="0" fontId="55" fillId="3" borderId="62" xfId="0" applyFont="1" applyFill="1" applyBorder="1" applyAlignment="1">
      <alignment horizontal="left" vertical="center" wrapText="1"/>
    </xf>
    <xf numFmtId="0" fontId="50" fillId="3" borderId="13"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6" fillId="3" borderId="65" xfId="0" applyFont="1" applyFill="1" applyBorder="1" applyAlignment="1">
      <alignment horizontal="justify" vertical="center" wrapText="1"/>
    </xf>
    <xf numFmtId="0" fontId="56" fillId="3" borderId="66" xfId="0" applyFont="1" applyFill="1" applyBorder="1" applyAlignment="1">
      <alignment horizontal="justify" vertical="center" wrapText="1"/>
    </xf>
    <xf numFmtId="0" fontId="51" fillId="14" borderId="47" xfId="2" applyFont="1" applyFill="1" applyBorder="1" applyAlignment="1">
      <alignment horizontal="center"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0" fillId="0" borderId="13"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4"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2" fillId="3" borderId="50" xfId="2" quotePrefix="1" applyFont="1" applyFill="1" applyBorder="1" applyAlignment="1">
      <alignment horizontal="left" vertical="top" wrapText="1"/>
    </xf>
    <xf numFmtId="0" fontId="53"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0" fillId="0" borderId="13"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4" xfId="2" quotePrefix="1" applyFont="1" applyBorder="1" applyAlignment="1">
      <alignment horizontal="left" vertical="top" wrapText="1"/>
    </xf>
    <xf numFmtId="0" fontId="55" fillId="14" borderId="53" xfId="3" applyFont="1" applyFill="1" applyBorder="1" applyAlignment="1">
      <alignment horizontal="center" vertical="center" wrapText="1"/>
    </xf>
    <xf numFmtId="0" fontId="55" fillId="14" borderId="54" xfId="3" applyFont="1" applyFill="1" applyBorder="1" applyAlignment="1">
      <alignment horizontal="center" vertical="center" wrapText="1"/>
    </xf>
    <xf numFmtId="0" fontId="55" fillId="14" borderId="55" xfId="2" applyFont="1" applyFill="1" applyBorder="1" applyAlignment="1">
      <alignment horizontal="center" vertical="center"/>
    </xf>
    <xf numFmtId="0" fontId="55" fillId="14" borderId="56" xfId="2" applyFont="1" applyFill="1" applyBorder="1" applyAlignment="1">
      <alignment horizontal="center" vertical="center"/>
    </xf>
    <xf numFmtId="0" fontId="2" fillId="3" borderId="67" xfId="2" quotePrefix="1" applyFont="1" applyFill="1" applyBorder="1" applyAlignment="1">
      <alignment horizontal="justify" vertical="center" wrapText="1"/>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6" fillId="2" borderId="27" xfId="0" applyFont="1" applyFill="1" applyBorder="1" applyAlignment="1">
      <alignment horizontal="center"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19" fillId="10" borderId="0" xfId="0" applyFont="1" applyFill="1" applyAlignment="1">
      <alignment horizontal="center" vertical="center" textRotation="90" wrapText="1" readingOrder="1"/>
    </xf>
    <xf numFmtId="0" fontId="19" fillId="10" borderId="14" xfId="0" applyFont="1" applyFill="1" applyBorder="1" applyAlignment="1">
      <alignment horizontal="center" vertical="center" textRotation="90" wrapText="1" readingOrder="1"/>
    </xf>
    <xf numFmtId="0" fontId="22" fillId="12" borderId="19" xfId="0" applyFont="1" applyFill="1" applyBorder="1" applyAlignment="1">
      <alignment horizontal="center" vertical="center"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1" borderId="19"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3" borderId="19"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5" borderId="19"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18" fillId="0" borderId="11" xfId="0" applyFont="1" applyBorder="1" applyAlignment="1">
      <alignment horizontal="center" vertical="center" wrapText="1"/>
    </xf>
    <xf numFmtId="0" fontId="18" fillId="0" borderId="18"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0" xfId="0" applyFont="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18" fillId="0" borderId="16"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1"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8" xfId="0" applyFont="1" applyBorder="1" applyAlignment="1">
      <alignment horizontal="center" vertical="center" wrapText="1"/>
    </xf>
    <xf numFmtId="0" fontId="21" fillId="11" borderId="15"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2" borderId="13"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1"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1"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1"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19" xfId="0" applyFont="1" applyFill="1" applyBorder="1" applyAlignment="1">
      <alignment horizontal="center" vertical="center" wrapText="1" readingOrder="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4" fillId="0" borderId="11" xfId="0" applyFont="1" applyBorder="1" applyAlignment="1">
      <alignment horizontal="center" vertical="center" wrapText="1"/>
    </xf>
    <xf numFmtId="0" fontId="44" fillId="0" borderId="18" xfId="0" applyFont="1" applyBorder="1" applyAlignment="1">
      <alignment horizontal="center" vertical="center"/>
    </xf>
    <xf numFmtId="0" fontId="44" fillId="0" borderId="13" xfId="0" applyFont="1" applyBorder="1" applyAlignment="1">
      <alignment horizontal="center" vertical="center" wrapText="1"/>
    </xf>
    <xf numFmtId="0" fontId="44" fillId="0" borderId="0" xfId="0" applyFont="1" applyAlignment="1">
      <alignment horizontal="center" vertical="center"/>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12" borderId="19" xfId="0" applyFont="1" applyFill="1" applyBorder="1" applyAlignment="1">
      <alignment horizontal="center" vertical="center" wrapText="1" readingOrder="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2" xfId="0" applyFont="1" applyBorder="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3" fillId="5" borderId="19" xfId="0" applyFont="1" applyFill="1" applyBorder="1" applyAlignment="1">
      <alignment horizontal="center" vertical="center" wrapText="1" readingOrder="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13" borderId="19"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4" fillId="0" borderId="18"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4" xfId="0" applyFont="1" applyFill="1" applyBorder="1" applyAlignment="1">
      <alignment horizontal="center" vertical="center" wrapText="1" readingOrder="1"/>
    </xf>
    <xf numFmtId="0" fontId="41" fillId="15" borderId="35" xfId="0" applyFont="1" applyFill="1" applyBorder="1" applyAlignment="1">
      <alignment horizontal="center" vertical="center" wrapText="1" readingOrder="1"/>
    </xf>
    <xf numFmtId="0" fontId="41" fillId="15" borderId="46"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3" xfId="0" applyFont="1" applyFill="1" applyBorder="1" applyAlignment="1">
      <alignment horizontal="center" vertical="center" wrapText="1" readingOrder="1"/>
    </xf>
    <xf numFmtId="0" fontId="38" fillId="15" borderId="44" xfId="0" applyFont="1" applyFill="1" applyBorder="1" applyAlignment="1">
      <alignment horizontal="center" vertical="center" wrapText="1" readingOrder="1"/>
    </xf>
    <xf numFmtId="0" fontId="38" fillId="3" borderId="41" xfId="0" applyFont="1" applyFill="1" applyBorder="1" applyAlignment="1">
      <alignment horizontal="center" vertical="center" wrapText="1" readingOrder="1"/>
    </xf>
    <xf numFmtId="0" fontId="38" fillId="3" borderId="36"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8" fillId="3" borderId="38"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1" fillId="0" borderId="4"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2">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41" dataDxfId="240">
  <autoFilter ref="B209:C219" xr:uid="{00000000-0009-0000-0100-000001000000}"/>
  <tableColumns count="2">
    <tableColumn id="1" xr3:uid="{00000000-0010-0000-0000-000001000000}" name="Criterios" dataDxfId="239"/>
    <tableColumn id="2" xr3:uid="{00000000-0010-0000-0000-000002000000}" name="Subcriterios" dataDxfId="238"/>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74" customWidth="1"/>
    <col min="2" max="3" width="24.7109375" style="74" customWidth="1"/>
    <col min="4" max="4" width="16" style="74" customWidth="1"/>
    <col min="5" max="5" width="24.7109375" style="74" customWidth="1"/>
    <col min="6" max="6" width="27.7109375" style="74" customWidth="1"/>
    <col min="7" max="8" width="24.7109375" style="74" customWidth="1"/>
    <col min="9" max="16384" width="11.42578125" style="74"/>
  </cols>
  <sheetData>
    <row r="1" spans="2:8" ht="15.75" thickBot="1" x14ac:dyDescent="0.3"/>
    <row r="2" spans="2:8" ht="18" x14ac:dyDescent="0.25">
      <c r="B2" s="159" t="s">
        <v>164</v>
      </c>
      <c r="C2" s="160"/>
      <c r="D2" s="160"/>
      <c r="E2" s="160"/>
      <c r="F2" s="160"/>
      <c r="G2" s="160"/>
      <c r="H2" s="161"/>
    </row>
    <row r="3" spans="2:8" x14ac:dyDescent="0.25">
      <c r="B3" s="75"/>
      <c r="C3" s="76"/>
      <c r="D3" s="76"/>
      <c r="E3" s="76"/>
      <c r="F3" s="76"/>
      <c r="G3" s="76"/>
      <c r="H3" s="77"/>
    </row>
    <row r="4" spans="2:8" ht="63" customHeight="1" x14ac:dyDescent="0.25">
      <c r="B4" s="162" t="s">
        <v>207</v>
      </c>
      <c r="C4" s="163"/>
      <c r="D4" s="163"/>
      <c r="E4" s="163"/>
      <c r="F4" s="163"/>
      <c r="G4" s="163"/>
      <c r="H4" s="164"/>
    </row>
    <row r="5" spans="2:8" ht="63" customHeight="1" x14ac:dyDescent="0.25">
      <c r="B5" s="165"/>
      <c r="C5" s="166"/>
      <c r="D5" s="166"/>
      <c r="E5" s="166"/>
      <c r="F5" s="166"/>
      <c r="G5" s="166"/>
      <c r="H5" s="167"/>
    </row>
    <row r="6" spans="2:8" ht="16.5" x14ac:dyDescent="0.25">
      <c r="B6" s="168" t="s">
        <v>162</v>
      </c>
      <c r="C6" s="169"/>
      <c r="D6" s="169"/>
      <c r="E6" s="169"/>
      <c r="F6" s="169"/>
      <c r="G6" s="169"/>
      <c r="H6" s="170"/>
    </row>
    <row r="7" spans="2:8" ht="95.25" customHeight="1" x14ac:dyDescent="0.25">
      <c r="B7" s="178" t="s">
        <v>167</v>
      </c>
      <c r="C7" s="179"/>
      <c r="D7" s="179"/>
      <c r="E7" s="179"/>
      <c r="F7" s="179"/>
      <c r="G7" s="179"/>
      <c r="H7" s="180"/>
    </row>
    <row r="8" spans="2:8" ht="16.5" x14ac:dyDescent="0.25">
      <c r="B8" s="111"/>
      <c r="C8" s="112"/>
      <c r="D8" s="112"/>
      <c r="E8" s="112"/>
      <c r="F8" s="112"/>
      <c r="G8" s="112"/>
      <c r="H8" s="113"/>
    </row>
    <row r="9" spans="2:8" ht="16.5" customHeight="1" x14ac:dyDescent="0.25">
      <c r="B9" s="171" t="s">
        <v>200</v>
      </c>
      <c r="C9" s="172"/>
      <c r="D9" s="172"/>
      <c r="E9" s="172"/>
      <c r="F9" s="172"/>
      <c r="G9" s="172"/>
      <c r="H9" s="173"/>
    </row>
    <row r="10" spans="2:8" ht="44.25" customHeight="1" x14ac:dyDescent="0.25">
      <c r="B10" s="171"/>
      <c r="C10" s="172"/>
      <c r="D10" s="172"/>
      <c r="E10" s="172"/>
      <c r="F10" s="172"/>
      <c r="G10" s="172"/>
      <c r="H10" s="173"/>
    </row>
    <row r="11" spans="2:8" ht="15.75" thickBot="1" x14ac:dyDescent="0.3">
      <c r="B11" s="100"/>
      <c r="C11" s="103"/>
      <c r="D11" s="108"/>
      <c r="E11" s="109"/>
      <c r="F11" s="109"/>
      <c r="G11" s="110"/>
      <c r="H11" s="104"/>
    </row>
    <row r="12" spans="2:8" ht="15.75" thickTop="1" x14ac:dyDescent="0.25">
      <c r="B12" s="100"/>
      <c r="C12" s="174" t="s">
        <v>163</v>
      </c>
      <c r="D12" s="175"/>
      <c r="E12" s="176" t="s">
        <v>201</v>
      </c>
      <c r="F12" s="177"/>
      <c r="G12" s="103"/>
      <c r="H12" s="104"/>
    </row>
    <row r="13" spans="2:8" ht="35.25" customHeight="1" x14ac:dyDescent="0.25">
      <c r="B13" s="100"/>
      <c r="C13" s="146" t="s">
        <v>194</v>
      </c>
      <c r="D13" s="147"/>
      <c r="E13" s="148" t="s">
        <v>199</v>
      </c>
      <c r="F13" s="149"/>
      <c r="G13" s="103"/>
      <c r="H13" s="104"/>
    </row>
    <row r="14" spans="2:8" ht="17.25" customHeight="1" x14ac:dyDescent="0.25">
      <c r="B14" s="100"/>
      <c r="C14" s="146" t="s">
        <v>195</v>
      </c>
      <c r="D14" s="147"/>
      <c r="E14" s="148" t="s">
        <v>197</v>
      </c>
      <c r="F14" s="149"/>
      <c r="G14" s="103"/>
      <c r="H14" s="104"/>
    </row>
    <row r="15" spans="2:8" ht="19.5" customHeight="1" x14ac:dyDescent="0.25">
      <c r="B15" s="100"/>
      <c r="C15" s="146" t="s">
        <v>196</v>
      </c>
      <c r="D15" s="147"/>
      <c r="E15" s="148" t="s">
        <v>198</v>
      </c>
      <c r="F15" s="149"/>
      <c r="G15" s="103"/>
      <c r="H15" s="104"/>
    </row>
    <row r="16" spans="2:8" ht="69.75" customHeight="1" x14ac:dyDescent="0.25">
      <c r="B16" s="100"/>
      <c r="C16" s="146" t="s">
        <v>165</v>
      </c>
      <c r="D16" s="147"/>
      <c r="E16" s="148" t="s">
        <v>166</v>
      </c>
      <c r="F16" s="149"/>
      <c r="G16" s="103"/>
      <c r="H16" s="104"/>
    </row>
    <row r="17" spans="2:8" ht="34.5" customHeight="1" x14ac:dyDescent="0.25">
      <c r="B17" s="100"/>
      <c r="C17" s="150" t="s">
        <v>2</v>
      </c>
      <c r="D17" s="151"/>
      <c r="E17" s="142" t="s">
        <v>208</v>
      </c>
      <c r="F17" s="143"/>
      <c r="G17" s="103"/>
      <c r="H17" s="104"/>
    </row>
    <row r="18" spans="2:8" ht="27.75" customHeight="1" x14ac:dyDescent="0.25">
      <c r="B18" s="100"/>
      <c r="C18" s="150" t="s">
        <v>3</v>
      </c>
      <c r="D18" s="151"/>
      <c r="E18" s="142" t="s">
        <v>209</v>
      </c>
      <c r="F18" s="143"/>
      <c r="G18" s="103"/>
      <c r="H18" s="104"/>
    </row>
    <row r="19" spans="2:8" ht="28.5" customHeight="1" x14ac:dyDescent="0.25">
      <c r="B19" s="100"/>
      <c r="C19" s="150" t="s">
        <v>42</v>
      </c>
      <c r="D19" s="151"/>
      <c r="E19" s="142" t="s">
        <v>210</v>
      </c>
      <c r="F19" s="143"/>
      <c r="G19" s="103"/>
      <c r="H19" s="104"/>
    </row>
    <row r="20" spans="2:8" ht="72.75" customHeight="1" x14ac:dyDescent="0.25">
      <c r="B20" s="100"/>
      <c r="C20" s="150" t="s">
        <v>1</v>
      </c>
      <c r="D20" s="151"/>
      <c r="E20" s="142" t="s">
        <v>211</v>
      </c>
      <c r="F20" s="143"/>
      <c r="G20" s="103"/>
      <c r="H20" s="104"/>
    </row>
    <row r="21" spans="2:8" ht="64.5" customHeight="1" x14ac:dyDescent="0.25">
      <c r="B21" s="100"/>
      <c r="C21" s="150" t="s">
        <v>50</v>
      </c>
      <c r="D21" s="151"/>
      <c r="E21" s="142" t="s">
        <v>169</v>
      </c>
      <c r="F21" s="143"/>
      <c r="G21" s="103"/>
      <c r="H21" s="104"/>
    </row>
    <row r="22" spans="2:8" ht="71.25" customHeight="1" x14ac:dyDescent="0.25">
      <c r="B22" s="100"/>
      <c r="C22" s="150" t="s">
        <v>168</v>
      </c>
      <c r="D22" s="151"/>
      <c r="E22" s="142" t="s">
        <v>170</v>
      </c>
      <c r="F22" s="143"/>
      <c r="G22" s="103"/>
      <c r="H22" s="104"/>
    </row>
    <row r="23" spans="2:8" ht="55.5" customHeight="1" x14ac:dyDescent="0.25">
      <c r="B23" s="100"/>
      <c r="C23" s="144" t="s">
        <v>171</v>
      </c>
      <c r="D23" s="145"/>
      <c r="E23" s="142" t="s">
        <v>172</v>
      </c>
      <c r="F23" s="143"/>
      <c r="G23" s="103"/>
      <c r="H23" s="104"/>
    </row>
    <row r="24" spans="2:8" ht="42" customHeight="1" x14ac:dyDescent="0.25">
      <c r="B24" s="100"/>
      <c r="C24" s="144" t="s">
        <v>48</v>
      </c>
      <c r="D24" s="145"/>
      <c r="E24" s="142" t="s">
        <v>173</v>
      </c>
      <c r="F24" s="143"/>
      <c r="G24" s="103"/>
      <c r="H24" s="104"/>
    </row>
    <row r="25" spans="2:8" ht="59.25" customHeight="1" x14ac:dyDescent="0.25">
      <c r="B25" s="100"/>
      <c r="C25" s="144" t="s">
        <v>161</v>
      </c>
      <c r="D25" s="145"/>
      <c r="E25" s="142" t="s">
        <v>174</v>
      </c>
      <c r="F25" s="143"/>
      <c r="G25" s="103"/>
      <c r="H25" s="104"/>
    </row>
    <row r="26" spans="2:8" ht="23.25" customHeight="1" x14ac:dyDescent="0.25">
      <c r="B26" s="100"/>
      <c r="C26" s="144" t="s">
        <v>12</v>
      </c>
      <c r="D26" s="145"/>
      <c r="E26" s="142" t="s">
        <v>175</v>
      </c>
      <c r="F26" s="143"/>
      <c r="G26" s="103"/>
      <c r="H26" s="104"/>
    </row>
    <row r="27" spans="2:8" ht="30.75" customHeight="1" x14ac:dyDescent="0.25">
      <c r="B27" s="100"/>
      <c r="C27" s="144" t="s">
        <v>179</v>
      </c>
      <c r="D27" s="145"/>
      <c r="E27" s="142" t="s">
        <v>176</v>
      </c>
      <c r="F27" s="143"/>
      <c r="G27" s="103"/>
      <c r="H27" s="104"/>
    </row>
    <row r="28" spans="2:8" ht="35.25" customHeight="1" x14ac:dyDescent="0.25">
      <c r="B28" s="100"/>
      <c r="C28" s="144" t="s">
        <v>180</v>
      </c>
      <c r="D28" s="145"/>
      <c r="E28" s="142" t="s">
        <v>177</v>
      </c>
      <c r="F28" s="143"/>
      <c r="G28" s="103"/>
      <c r="H28" s="104"/>
    </row>
    <row r="29" spans="2:8" ht="33" customHeight="1" x14ac:dyDescent="0.25">
      <c r="B29" s="100"/>
      <c r="C29" s="144" t="s">
        <v>180</v>
      </c>
      <c r="D29" s="145"/>
      <c r="E29" s="142" t="s">
        <v>177</v>
      </c>
      <c r="F29" s="143"/>
      <c r="G29" s="103"/>
      <c r="H29" s="104"/>
    </row>
    <row r="30" spans="2:8" ht="30" customHeight="1" x14ac:dyDescent="0.25">
      <c r="B30" s="100"/>
      <c r="C30" s="144" t="s">
        <v>181</v>
      </c>
      <c r="D30" s="145"/>
      <c r="E30" s="142" t="s">
        <v>178</v>
      </c>
      <c r="F30" s="143"/>
      <c r="G30" s="103"/>
      <c r="H30" s="104"/>
    </row>
    <row r="31" spans="2:8" ht="35.25" customHeight="1" x14ac:dyDescent="0.25">
      <c r="B31" s="100"/>
      <c r="C31" s="144" t="s">
        <v>182</v>
      </c>
      <c r="D31" s="145"/>
      <c r="E31" s="142" t="s">
        <v>183</v>
      </c>
      <c r="F31" s="143"/>
      <c r="G31" s="103"/>
      <c r="H31" s="104"/>
    </row>
    <row r="32" spans="2:8" ht="31.5" customHeight="1" x14ac:dyDescent="0.25">
      <c r="B32" s="100"/>
      <c r="C32" s="144" t="s">
        <v>184</v>
      </c>
      <c r="D32" s="145"/>
      <c r="E32" s="142" t="s">
        <v>185</v>
      </c>
      <c r="F32" s="143"/>
      <c r="G32" s="103"/>
      <c r="H32" s="104"/>
    </row>
    <row r="33" spans="2:8" ht="35.25" customHeight="1" x14ac:dyDescent="0.25">
      <c r="B33" s="100"/>
      <c r="C33" s="144" t="s">
        <v>186</v>
      </c>
      <c r="D33" s="145"/>
      <c r="E33" s="142" t="s">
        <v>187</v>
      </c>
      <c r="F33" s="143"/>
      <c r="G33" s="103"/>
      <c r="H33" s="104"/>
    </row>
    <row r="34" spans="2:8" ht="59.25" customHeight="1" x14ac:dyDescent="0.25">
      <c r="B34" s="100"/>
      <c r="C34" s="144" t="s">
        <v>188</v>
      </c>
      <c r="D34" s="145"/>
      <c r="E34" s="142" t="s">
        <v>189</v>
      </c>
      <c r="F34" s="143"/>
      <c r="G34" s="103"/>
      <c r="H34" s="104"/>
    </row>
    <row r="35" spans="2:8" ht="29.25" customHeight="1" x14ac:dyDescent="0.25">
      <c r="B35" s="100"/>
      <c r="C35" s="144" t="s">
        <v>29</v>
      </c>
      <c r="D35" s="145"/>
      <c r="E35" s="142" t="s">
        <v>190</v>
      </c>
      <c r="F35" s="143"/>
      <c r="G35" s="103"/>
      <c r="H35" s="104"/>
    </row>
    <row r="36" spans="2:8" ht="82.5" customHeight="1" x14ac:dyDescent="0.25">
      <c r="B36" s="100"/>
      <c r="C36" s="144" t="s">
        <v>192</v>
      </c>
      <c r="D36" s="145"/>
      <c r="E36" s="142" t="s">
        <v>191</v>
      </c>
      <c r="F36" s="143"/>
      <c r="G36" s="103"/>
      <c r="H36" s="104"/>
    </row>
    <row r="37" spans="2:8" ht="46.5" customHeight="1" x14ac:dyDescent="0.25">
      <c r="B37" s="100"/>
      <c r="C37" s="144" t="s">
        <v>39</v>
      </c>
      <c r="D37" s="145"/>
      <c r="E37" s="142" t="s">
        <v>193</v>
      </c>
      <c r="F37" s="143"/>
      <c r="G37" s="103"/>
      <c r="H37" s="104"/>
    </row>
    <row r="38" spans="2:8" ht="6.75" customHeight="1" thickBot="1" x14ac:dyDescent="0.3">
      <c r="B38" s="100"/>
      <c r="C38" s="155"/>
      <c r="D38" s="156"/>
      <c r="E38" s="157"/>
      <c r="F38" s="158"/>
      <c r="G38" s="103"/>
      <c r="H38" s="104"/>
    </row>
    <row r="39" spans="2:8" ht="15.75" thickTop="1" x14ac:dyDescent="0.25">
      <c r="B39" s="100"/>
      <c r="C39" s="101"/>
      <c r="D39" s="101"/>
      <c r="E39" s="102"/>
      <c r="F39" s="102"/>
      <c r="G39" s="103"/>
      <c r="H39" s="104"/>
    </row>
    <row r="40" spans="2:8" ht="21" customHeight="1" x14ac:dyDescent="0.25">
      <c r="B40" s="152" t="s">
        <v>202</v>
      </c>
      <c r="C40" s="153"/>
      <c r="D40" s="153"/>
      <c r="E40" s="153"/>
      <c r="F40" s="153"/>
      <c r="G40" s="153"/>
      <c r="H40" s="154"/>
    </row>
    <row r="41" spans="2:8" ht="20.25" customHeight="1" x14ac:dyDescent="0.25">
      <c r="B41" s="152" t="s">
        <v>203</v>
      </c>
      <c r="C41" s="153"/>
      <c r="D41" s="153"/>
      <c r="E41" s="153"/>
      <c r="F41" s="153"/>
      <c r="G41" s="153"/>
      <c r="H41" s="154"/>
    </row>
    <row r="42" spans="2:8" ht="20.25" customHeight="1" x14ac:dyDescent="0.25">
      <c r="B42" s="152" t="s">
        <v>204</v>
      </c>
      <c r="C42" s="153"/>
      <c r="D42" s="153"/>
      <c r="E42" s="153"/>
      <c r="F42" s="153"/>
      <c r="G42" s="153"/>
      <c r="H42" s="154"/>
    </row>
    <row r="43" spans="2:8" ht="20.25" customHeight="1" x14ac:dyDescent="0.25">
      <c r="B43" s="152" t="s">
        <v>205</v>
      </c>
      <c r="C43" s="153"/>
      <c r="D43" s="153"/>
      <c r="E43" s="153"/>
      <c r="F43" s="153"/>
      <c r="G43" s="153"/>
      <c r="H43" s="154"/>
    </row>
    <row r="44" spans="2:8" x14ac:dyDescent="0.25">
      <c r="B44" s="152" t="s">
        <v>206</v>
      </c>
      <c r="C44" s="153"/>
      <c r="D44" s="153"/>
      <c r="E44" s="153"/>
      <c r="F44" s="153"/>
      <c r="G44" s="153"/>
      <c r="H44" s="154"/>
    </row>
    <row r="45" spans="2:8" ht="15.75" thickBot="1" x14ac:dyDescent="0.3">
      <c r="B45" s="105"/>
      <c r="C45" s="106"/>
      <c r="D45" s="106"/>
      <c r="E45" s="106"/>
      <c r="F45" s="106"/>
      <c r="G45" s="106"/>
      <c r="H45" s="10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60"/>
  <sheetViews>
    <sheetView tabSelected="1" zoomScale="70" zoomScaleNormal="70" workbookViewId="0">
      <selection activeCell="F10" sqref="F10:F15"/>
    </sheetView>
  </sheetViews>
  <sheetFormatPr baseColWidth="10" defaultColWidth="11.42578125" defaultRowHeight="16.5" x14ac:dyDescent="0.3"/>
  <cols>
    <col min="1" max="1" width="4" style="2" bestFit="1" customWidth="1"/>
    <col min="2" max="2" width="14.140625" style="2" customWidth="1"/>
    <col min="3" max="3" width="15.5703125" style="2" customWidth="1"/>
    <col min="4" max="4" width="16.140625" style="2" customWidth="1"/>
    <col min="5" max="5" width="32.42578125" style="1" customWidth="1"/>
    <col min="6" max="6" width="19" style="4" customWidth="1"/>
    <col min="7" max="7" width="17.85546875" style="1" customWidth="1"/>
    <col min="8" max="8" width="16.5703125" style="1" customWidth="1"/>
    <col min="9" max="9" width="6.28515625" style="1" bestFit="1" customWidth="1"/>
    <col min="10" max="10" width="24.85546875" style="1" customWidth="1"/>
    <col min="11" max="11" width="26.42578125" style="1" customWidth="1"/>
    <col min="12" max="12" width="17.5703125" style="1" customWidth="1"/>
    <col min="13" max="13" width="6.28515625" style="1" bestFit="1" customWidth="1"/>
    <col min="14" max="14" width="16" style="1" customWidth="1"/>
    <col min="15" max="15" width="5.85546875" style="1" customWidth="1"/>
    <col min="16" max="16" width="41.7109375"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1" t="s">
        <v>142</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row>
    <row r="3" spans="1:68" x14ac:dyDescent="0.3">
      <c r="A3" s="17"/>
      <c r="B3" s="18"/>
      <c r="C3" s="17"/>
      <c r="D3" s="17"/>
      <c r="E3" s="7"/>
      <c r="F3" s="16"/>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row>
    <row r="4" spans="1:68" ht="34.5" customHeight="1" x14ac:dyDescent="0.3">
      <c r="A4" s="232" t="s">
        <v>43</v>
      </c>
      <c r="B4" s="233"/>
      <c r="C4" s="224" t="s">
        <v>215</v>
      </c>
      <c r="D4" s="225"/>
      <c r="E4" s="225"/>
      <c r="F4" s="225"/>
      <c r="G4" s="225"/>
      <c r="H4" s="225"/>
      <c r="I4" s="225"/>
      <c r="J4" s="225"/>
      <c r="K4" s="225"/>
      <c r="L4" s="225"/>
      <c r="M4" s="225"/>
      <c r="N4" s="226"/>
      <c r="O4" s="227"/>
      <c r="P4" s="227"/>
      <c r="Q4" s="22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row>
    <row r="5" spans="1:68" ht="42.75" customHeight="1" x14ac:dyDescent="0.3">
      <c r="A5" s="232" t="s">
        <v>128</v>
      </c>
      <c r="B5" s="233"/>
      <c r="C5" s="224" t="s">
        <v>216</v>
      </c>
      <c r="D5" s="225"/>
      <c r="E5" s="225"/>
      <c r="F5" s="225"/>
      <c r="G5" s="225"/>
      <c r="H5" s="225"/>
      <c r="I5" s="225"/>
      <c r="J5" s="225"/>
      <c r="K5" s="225"/>
      <c r="L5" s="225"/>
      <c r="M5" s="225"/>
      <c r="N5" s="226"/>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row>
    <row r="6" spans="1:68" ht="34.5" customHeight="1" x14ac:dyDescent="0.3">
      <c r="A6" s="232" t="s">
        <v>44</v>
      </c>
      <c r="B6" s="233"/>
      <c r="C6" s="224" t="s">
        <v>217</v>
      </c>
      <c r="D6" s="225"/>
      <c r="E6" s="225"/>
      <c r="F6" s="225"/>
      <c r="G6" s="225"/>
      <c r="H6" s="225"/>
      <c r="I6" s="225"/>
      <c r="J6" s="225"/>
      <c r="K6" s="225"/>
      <c r="L6" s="225"/>
      <c r="M6" s="225"/>
      <c r="N6" s="226"/>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row>
    <row r="7" spans="1:68" x14ac:dyDescent="0.3">
      <c r="A7" s="187" t="s">
        <v>137</v>
      </c>
      <c r="B7" s="188"/>
      <c r="C7" s="188"/>
      <c r="D7" s="188"/>
      <c r="E7" s="188"/>
      <c r="F7" s="188"/>
      <c r="G7" s="189"/>
      <c r="H7" s="187" t="s">
        <v>138</v>
      </c>
      <c r="I7" s="188"/>
      <c r="J7" s="188"/>
      <c r="K7" s="188"/>
      <c r="L7" s="188"/>
      <c r="M7" s="188"/>
      <c r="N7" s="189"/>
      <c r="O7" s="187" t="s">
        <v>139</v>
      </c>
      <c r="P7" s="188"/>
      <c r="Q7" s="188"/>
      <c r="R7" s="188"/>
      <c r="S7" s="188"/>
      <c r="T7" s="188"/>
      <c r="U7" s="188"/>
      <c r="V7" s="188"/>
      <c r="W7" s="189"/>
      <c r="X7" s="187" t="s">
        <v>140</v>
      </c>
      <c r="Y7" s="188"/>
      <c r="Z7" s="188"/>
      <c r="AA7" s="188"/>
      <c r="AB7" s="188"/>
      <c r="AC7" s="188"/>
      <c r="AD7" s="189"/>
      <c r="AE7" s="187" t="s">
        <v>34</v>
      </c>
      <c r="AF7" s="188"/>
      <c r="AG7" s="188"/>
      <c r="AH7" s="188"/>
      <c r="AI7" s="188"/>
      <c r="AJ7" s="189"/>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row>
    <row r="8" spans="1:68" ht="16.5" customHeight="1" x14ac:dyDescent="0.3">
      <c r="A8" s="234" t="s">
        <v>0</v>
      </c>
      <c r="B8" s="230" t="s">
        <v>2</v>
      </c>
      <c r="C8" s="228" t="s">
        <v>3</v>
      </c>
      <c r="D8" s="228" t="s">
        <v>42</v>
      </c>
      <c r="E8" s="236" t="s">
        <v>1</v>
      </c>
      <c r="F8" s="231" t="s">
        <v>50</v>
      </c>
      <c r="G8" s="228" t="s">
        <v>133</v>
      </c>
      <c r="H8" s="229" t="s">
        <v>33</v>
      </c>
      <c r="I8" s="220" t="s">
        <v>5</v>
      </c>
      <c r="J8" s="231" t="s">
        <v>87</v>
      </c>
      <c r="K8" s="231" t="s">
        <v>92</v>
      </c>
      <c r="L8" s="218" t="s">
        <v>45</v>
      </c>
      <c r="M8" s="220" t="s">
        <v>5</v>
      </c>
      <c r="N8" s="228" t="s">
        <v>48</v>
      </c>
      <c r="O8" s="221" t="s">
        <v>11</v>
      </c>
      <c r="P8" s="217" t="s">
        <v>161</v>
      </c>
      <c r="Q8" s="231" t="s">
        <v>12</v>
      </c>
      <c r="R8" s="217" t="s">
        <v>8</v>
      </c>
      <c r="S8" s="217"/>
      <c r="T8" s="217"/>
      <c r="U8" s="217"/>
      <c r="V8" s="217"/>
      <c r="W8" s="217"/>
      <c r="X8" s="223" t="s">
        <v>136</v>
      </c>
      <c r="Y8" s="223" t="s">
        <v>46</v>
      </c>
      <c r="Z8" s="223" t="s">
        <v>5</v>
      </c>
      <c r="AA8" s="223" t="s">
        <v>47</v>
      </c>
      <c r="AB8" s="223" t="s">
        <v>5</v>
      </c>
      <c r="AC8" s="223" t="s">
        <v>49</v>
      </c>
      <c r="AD8" s="221" t="s">
        <v>29</v>
      </c>
      <c r="AE8" s="217" t="s">
        <v>34</v>
      </c>
      <c r="AF8" s="217" t="s">
        <v>35</v>
      </c>
      <c r="AG8" s="217" t="s">
        <v>36</v>
      </c>
      <c r="AH8" s="217" t="s">
        <v>38</v>
      </c>
      <c r="AI8" s="217" t="s">
        <v>37</v>
      </c>
      <c r="AJ8" s="217" t="s">
        <v>39</v>
      </c>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row>
    <row r="9" spans="1:68" s="3" customFormat="1" ht="94.5" customHeight="1" x14ac:dyDescent="0.25">
      <c r="A9" s="235"/>
      <c r="B9" s="230"/>
      <c r="C9" s="217"/>
      <c r="D9" s="217"/>
      <c r="E9" s="230"/>
      <c r="F9" s="228"/>
      <c r="G9" s="217"/>
      <c r="H9" s="228"/>
      <c r="I9" s="219"/>
      <c r="J9" s="228"/>
      <c r="K9" s="228"/>
      <c r="L9" s="219"/>
      <c r="M9" s="219"/>
      <c r="N9" s="217"/>
      <c r="O9" s="222"/>
      <c r="P9" s="217"/>
      <c r="Q9" s="228"/>
      <c r="R9" s="6" t="s">
        <v>13</v>
      </c>
      <c r="S9" s="6" t="s">
        <v>17</v>
      </c>
      <c r="T9" s="6" t="s">
        <v>28</v>
      </c>
      <c r="U9" s="6" t="s">
        <v>18</v>
      </c>
      <c r="V9" s="6" t="s">
        <v>21</v>
      </c>
      <c r="W9" s="6" t="s">
        <v>24</v>
      </c>
      <c r="X9" s="223"/>
      <c r="Y9" s="223"/>
      <c r="Z9" s="223"/>
      <c r="AA9" s="223"/>
      <c r="AB9" s="223"/>
      <c r="AC9" s="223"/>
      <c r="AD9" s="222"/>
      <c r="AE9" s="217"/>
      <c r="AF9" s="217"/>
      <c r="AG9" s="217"/>
      <c r="AH9" s="217"/>
      <c r="AI9" s="217"/>
      <c r="AJ9" s="217"/>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row>
    <row r="10" spans="1:68" ht="56.25" customHeight="1" x14ac:dyDescent="0.3">
      <c r="A10" s="199">
        <v>1</v>
      </c>
      <c r="B10" s="202" t="s">
        <v>131</v>
      </c>
      <c r="C10" s="202" t="s">
        <v>220</v>
      </c>
      <c r="D10" s="202" t="s">
        <v>222</v>
      </c>
      <c r="E10" s="205" t="s">
        <v>221</v>
      </c>
      <c r="F10" s="202" t="s">
        <v>121</v>
      </c>
      <c r="G10" s="208">
        <v>2400</v>
      </c>
      <c r="H10" s="211" t="str">
        <f>IF(G10&lt;=0,"",IF(G10&lt;=2,"Muy Baja",IF(G10&lt;=24,"Baja",IF(G10&lt;=500,"Media",IF(G10&lt;=5000,"Alta","Muy Alta")))))</f>
        <v>Alta</v>
      </c>
      <c r="I10" s="193">
        <f>IF(H10="","",IF(H10="Muy Baja",0.2,IF(H10="Baja",0.4,IF(H10="Media",0.6,IF(H10="Alta",0.8,IF(H10="Muy Alta",1,))))))</f>
        <v>0.8</v>
      </c>
      <c r="J10" s="214" t="s">
        <v>148</v>
      </c>
      <c r="K10" s="193" t="str">
        <f ca="1">IF(NOT(ISERROR(MATCH(J10,'Tabla Impacto'!$B$221:$B$223,0))),'Tabla Impacto'!$F$223&amp;"Por favor no seleccionar los criterios de impacto(Afectación Económica o presupuestal y Pérdida Reputacional)",J10)</f>
        <v xml:space="preserve">     Entre 10 y 50 SMLMV </v>
      </c>
      <c r="L10" s="211" t="str">
        <f ca="1">IF(OR(K10='Tabla Impacto'!$C$11,K10='Tabla Impacto'!$D$11),"Leve",IF(OR(K10='Tabla Impacto'!$C$12,K10='Tabla Impacto'!$D$12),"Menor",IF(OR(K10='Tabla Impacto'!$C$13,K10='Tabla Impacto'!$D$13),"Moderado",IF(OR(K10='Tabla Impacto'!$C$14,K10='Tabla Impacto'!$D$14),"Mayor",IF(OR(K10='Tabla Impacto'!$C$15,K10='Tabla Impacto'!$D$15),"Catastrófico","")))))</f>
        <v>Menor</v>
      </c>
      <c r="M10" s="193">
        <f ca="1">IF(L10="","",IF(L10="Leve",0.2,IF(L10="Menor",0.4,IF(L10="Moderado",0.6,IF(L10="Mayor",0.8,IF(L10="Catastrófico",1,))))))</f>
        <v>0.4</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5">
        <v>1</v>
      </c>
      <c r="P10" s="26" t="s">
        <v>223</v>
      </c>
      <c r="Q10" s="28" t="str">
        <f>IF(OR(R10="Preventivo",R10="Detectivo"),"Probabilidad",IF(R10="Correctivo","Impacto",""))</f>
        <v>Probabilidad</v>
      </c>
      <c r="R10" s="29" t="s">
        <v>15</v>
      </c>
      <c r="S10" s="29" t="s">
        <v>9</v>
      </c>
      <c r="T10" s="30" t="str">
        <f>IF(AND(R10="Preventivo",S10="Automático"),"50%",IF(AND(R10="Preventivo",S10="Manual"),"40%",IF(AND(R10="Detectivo",S10="Automático"),"40%",IF(AND(R10="Detectivo",S10="Manual"),"30%",IF(AND(R10="Correctivo",S10="Automático"),"35%",IF(AND(R10="Correctivo",S10="Manual"),"25%",""))))))</f>
        <v>30%</v>
      </c>
      <c r="U10" s="29" t="s">
        <v>19</v>
      </c>
      <c r="V10" s="29" t="s">
        <v>22</v>
      </c>
      <c r="W10" s="29" t="s">
        <v>117</v>
      </c>
      <c r="X10" s="13">
        <f>IFERROR(IF(Q10="Probabilidad",(I10-(+I10*T10)),IF(Q10="Impacto",I10,"")),"")</f>
        <v>0.56000000000000005</v>
      </c>
      <c r="Y10" s="31" t="str">
        <f>IFERROR(IF(X10="","",IF(X10&lt;=0.2,"Muy Baja",IF(X10&lt;=0.4,"Baja",IF(X10&lt;=0.6,"Media",IF(X10&lt;=0.8,"Alta","Muy Alta"))))),"")</f>
        <v>Media</v>
      </c>
      <c r="Z10" s="32">
        <f>+X10</f>
        <v>0.56000000000000005</v>
      </c>
      <c r="AA10" s="31" t="str">
        <f ca="1">IFERROR(IF(AB10="","",IF(AB10&lt;=0.2,"Leve",IF(AB10&lt;=0.4,"Menor",IF(AB10&lt;=0.6,"Moderado",IF(AB10&lt;=0.8,"Mayor","Catastrófico"))))),"")</f>
        <v>Menor</v>
      </c>
      <c r="AB10" s="32">
        <f ca="1">IFERROR(IF(Q10="Impacto",(M10-(+M10*T10)),IF(Q10="Probabilidad",M10,"")),"")</f>
        <v>0.4</v>
      </c>
      <c r="AC10" s="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34" t="s">
        <v>31</v>
      </c>
      <c r="AE10" s="35"/>
      <c r="AF10" s="35"/>
      <c r="AG10" s="36"/>
      <c r="AH10" s="36"/>
      <c r="AI10" s="35"/>
      <c r="AJ10" s="140"/>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row>
    <row r="11" spans="1:68" ht="32.25" customHeight="1" x14ac:dyDescent="0.3">
      <c r="A11" s="200"/>
      <c r="B11" s="203"/>
      <c r="C11" s="203"/>
      <c r="D11" s="203"/>
      <c r="E11" s="206"/>
      <c r="F11" s="203"/>
      <c r="G11" s="209"/>
      <c r="H11" s="212"/>
      <c r="I11" s="194"/>
      <c r="J11" s="215"/>
      <c r="K11" s="194">
        <f ca="1">IF(NOT(ISERROR(MATCH(J11,_xlfn.ANCHORARRAY(E16),0))),I18&amp;"Por favor no seleccionar los criterios de impacto",J11)</f>
        <v>0</v>
      </c>
      <c r="L11" s="212"/>
      <c r="M11" s="194"/>
      <c r="N11" s="197"/>
      <c r="O11" s="5">
        <v>2</v>
      </c>
      <c r="P11" s="26"/>
      <c r="Q11" s="28" t="str">
        <f>IF(OR(R11="Preventivo",R11="Detectivo"),"Probabilidad",IF(R11="Correctivo","Impacto",""))</f>
        <v/>
      </c>
      <c r="R11" s="29"/>
      <c r="S11" s="29"/>
      <c r="T11" s="30" t="str">
        <f t="shared" ref="T11:T15" si="0">IF(AND(R11="Preventivo",S11="Automático"),"50%",IF(AND(R11="Preventivo",S11="Manual"),"40%",IF(AND(R11="Detectivo",S11="Automático"),"40%",IF(AND(R11="Detectivo",S11="Manual"),"30%",IF(AND(R11="Correctivo",S11="Automático"),"35%",IF(AND(R11="Correctivo",S11="Manual"),"25%",""))))))</f>
        <v/>
      </c>
      <c r="U11" s="29"/>
      <c r="V11" s="29"/>
      <c r="W11" s="29"/>
      <c r="X11" s="139" t="str">
        <f>IFERROR(IF(AND(Q10="Probabilidad",Q11="Probabilidad"),(Z10-(+Z10*T11)),IF(Q11="Probabilidad",(I10-(+I10*T11)),IF(Q11="Impacto",Z10,""))),"")</f>
        <v/>
      </c>
      <c r="Y11" s="31" t="str">
        <f t="shared" ref="Y11:Y57" si="1">IFERROR(IF(X11="","",IF(X11&lt;=0.2,"Muy Baja",IF(X11&lt;=0.4,"Baja",IF(X11&lt;=0.6,"Media",IF(X11&lt;=0.8,"Alta","Muy Alta"))))),"")</f>
        <v/>
      </c>
      <c r="Z11" s="32" t="str">
        <f t="shared" ref="Z11:Z15" si="2">+X11</f>
        <v/>
      </c>
      <c r="AA11" s="31" t="str">
        <f t="shared" ref="AA11:AA57" si="3">IFERROR(IF(AB11="","",IF(AB11&lt;=0.2,"Leve",IF(AB11&lt;=0.4,"Menor",IF(AB11&lt;=0.6,"Moderado",IF(AB11&lt;=0.8,"Mayor","Catastrófico"))))),"")</f>
        <v/>
      </c>
      <c r="AB11" s="32" t="str">
        <f>IFERROR(IF(AND(Q10="Impacto",Q11="Impacto"),(AB10-(+AB10*T11)),IF(AND(Q10="Probabilidad",Q11="Impacto"),(AB9-(+AB9*T11)),IF(Q11="Probabilidad",AB10,""))),"")</f>
        <v/>
      </c>
      <c r="AC11" s="33" t="str">
        <f t="shared" ref="AC11:AC12"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34"/>
      <c r="AE11" s="35"/>
      <c r="AF11" s="25"/>
      <c r="AG11" s="36"/>
      <c r="AH11" s="141"/>
      <c r="AI11" s="35"/>
      <c r="AJ11" s="25"/>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row>
    <row r="12" spans="1:68" ht="32.25" customHeight="1" x14ac:dyDescent="0.3">
      <c r="A12" s="200"/>
      <c r="B12" s="203"/>
      <c r="C12" s="203"/>
      <c r="D12" s="203"/>
      <c r="E12" s="206"/>
      <c r="F12" s="203"/>
      <c r="G12" s="209"/>
      <c r="H12" s="212"/>
      <c r="I12" s="194"/>
      <c r="J12" s="215"/>
      <c r="K12" s="194">
        <f ca="1">IF(NOT(ISERROR(MATCH(J12,_xlfn.ANCHORARRAY(E17),0))),I19&amp;"Por favor no seleccionar los criterios de impacto",J12)</f>
        <v>0</v>
      </c>
      <c r="L12" s="212"/>
      <c r="M12" s="194"/>
      <c r="N12" s="197"/>
      <c r="O12" s="5">
        <v>3</v>
      </c>
      <c r="P12" s="26"/>
      <c r="Q12" s="28" t="str">
        <f>IF(OR(R12="Preventivo",R12="Detectivo"),"Probabilidad",IF(R12="Correctivo","Impacto",""))</f>
        <v/>
      </c>
      <c r="R12" s="29"/>
      <c r="S12" s="29"/>
      <c r="T12" s="30" t="str">
        <f t="shared" si="0"/>
        <v/>
      </c>
      <c r="U12" s="29"/>
      <c r="V12" s="29"/>
      <c r="W12" s="29"/>
      <c r="X12" s="13" t="str">
        <f>IFERROR(IF(AND(Q11="Probabilidad",Q12="Probabilidad"),(Z11-(+Z11*T12)),IF(AND(Q11="Impacto",Q12="Probabilidad"),(Z10-(+Z10*T12)),IF(Q12="Impacto",Z11,""))),"")</f>
        <v/>
      </c>
      <c r="Y12" s="31" t="str">
        <f t="shared" si="1"/>
        <v/>
      </c>
      <c r="Z12" s="32" t="str">
        <f t="shared" si="2"/>
        <v/>
      </c>
      <c r="AA12" s="31" t="str">
        <f t="shared" si="3"/>
        <v/>
      </c>
      <c r="AB12" s="32" t="str">
        <f>IFERROR(IF(AND(Q11="Impacto",Q12="Impacto"),(AB11-(+AB11*T12)),IF(AND(Q11="Probabilidad",Q12="Impacto"),(AB10-(+AB10*T12)),IF(Q12="Probabilidad",AB11,""))),"")</f>
        <v/>
      </c>
      <c r="AC12" s="33" t="str">
        <f t="shared" si="4"/>
        <v/>
      </c>
      <c r="AD12" s="34"/>
      <c r="AE12" s="35"/>
      <c r="AF12" s="35"/>
      <c r="AG12" s="36"/>
      <c r="AH12" s="36"/>
      <c r="AI12" s="35"/>
      <c r="AJ12" s="25"/>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row>
    <row r="13" spans="1:68" ht="32.25" customHeight="1" x14ac:dyDescent="0.3">
      <c r="A13" s="200"/>
      <c r="B13" s="203"/>
      <c r="C13" s="203"/>
      <c r="D13" s="203"/>
      <c r="E13" s="206"/>
      <c r="F13" s="203"/>
      <c r="G13" s="209"/>
      <c r="H13" s="212"/>
      <c r="I13" s="194"/>
      <c r="J13" s="215"/>
      <c r="K13" s="194">
        <f ca="1">IF(NOT(ISERROR(MATCH(J13,_xlfn.ANCHORARRAY(E18),0))),I20&amp;"Por favor no seleccionar los criterios de impacto",J13)</f>
        <v>0</v>
      </c>
      <c r="L13" s="212"/>
      <c r="M13" s="194"/>
      <c r="N13" s="197"/>
      <c r="O13" s="5">
        <v>4</v>
      </c>
      <c r="P13" s="26"/>
      <c r="Q13" s="28" t="str">
        <f t="shared" ref="Q13:Q15" si="5">IF(OR(R13="Preventivo",R13="Detectivo"),"Probabilidad",IF(R13="Correctivo","Impacto",""))</f>
        <v/>
      </c>
      <c r="R13" s="29"/>
      <c r="S13" s="29"/>
      <c r="T13" s="30" t="str">
        <f t="shared" si="0"/>
        <v/>
      </c>
      <c r="U13" s="29"/>
      <c r="V13" s="29"/>
      <c r="W13" s="29"/>
      <c r="X13" s="13" t="str">
        <f t="shared" ref="X13:X15" si="6">IFERROR(IF(AND(Q12="Probabilidad",Q13="Probabilidad"),(Z12-(+Z12*T13)),IF(AND(Q12="Impacto",Q13="Probabilidad"),(Z11-(+Z11*T13)),IF(Q13="Impacto",Z12,""))),"")</f>
        <v/>
      </c>
      <c r="Y13" s="31" t="str">
        <f t="shared" si="1"/>
        <v/>
      </c>
      <c r="Z13" s="32" t="str">
        <f t="shared" si="2"/>
        <v/>
      </c>
      <c r="AA13" s="31" t="str">
        <f t="shared" si="3"/>
        <v/>
      </c>
      <c r="AB13" s="32" t="str">
        <f t="shared" ref="AB13:AB15" si="7">IFERROR(IF(AND(Q12="Impacto",Q13="Impacto"),(AB12-(+AB12*T13)),IF(AND(Q12="Probabilidad",Q13="Impacto"),(AB11-(+AB11*T13)),IF(Q13="Probabilidad",AB12,""))),"")</f>
        <v/>
      </c>
      <c r="AC13" s="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34"/>
      <c r="AE13" s="35"/>
      <c r="AF13" s="25"/>
      <c r="AG13" s="36"/>
      <c r="AH13" s="36"/>
      <c r="AI13" s="35"/>
      <c r="AJ13" s="25"/>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row>
    <row r="14" spans="1:68" ht="32.25" customHeight="1" x14ac:dyDescent="0.3">
      <c r="A14" s="200"/>
      <c r="B14" s="203"/>
      <c r="C14" s="203"/>
      <c r="D14" s="203"/>
      <c r="E14" s="206"/>
      <c r="F14" s="203"/>
      <c r="G14" s="209"/>
      <c r="H14" s="212"/>
      <c r="I14" s="194"/>
      <c r="J14" s="215"/>
      <c r="K14" s="194">
        <f ca="1">IF(NOT(ISERROR(MATCH(J14,_xlfn.ANCHORARRAY(E19),0))),I21&amp;"Por favor no seleccionar los criterios de impacto",J14)</f>
        <v>0</v>
      </c>
      <c r="L14" s="212"/>
      <c r="M14" s="194"/>
      <c r="N14" s="197"/>
      <c r="O14" s="5">
        <v>5</v>
      </c>
      <c r="P14" s="26"/>
      <c r="Q14" s="28" t="str">
        <f t="shared" si="5"/>
        <v/>
      </c>
      <c r="R14" s="29"/>
      <c r="S14" s="29"/>
      <c r="T14" s="30" t="str">
        <f t="shared" si="0"/>
        <v/>
      </c>
      <c r="U14" s="29"/>
      <c r="V14" s="29"/>
      <c r="W14" s="29"/>
      <c r="X14" s="13" t="str">
        <f t="shared" si="6"/>
        <v/>
      </c>
      <c r="Y14" s="31" t="str">
        <f t="shared" si="1"/>
        <v/>
      </c>
      <c r="Z14" s="32" t="str">
        <f t="shared" si="2"/>
        <v/>
      </c>
      <c r="AA14" s="31" t="str">
        <f t="shared" si="3"/>
        <v/>
      </c>
      <c r="AB14" s="32" t="str">
        <f t="shared" si="7"/>
        <v/>
      </c>
      <c r="AC14" s="33" t="str">
        <f t="shared" ref="AC14:AC15" si="8">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34"/>
      <c r="AE14" s="35"/>
      <c r="AF14" s="25"/>
      <c r="AG14" s="36"/>
      <c r="AH14" s="36"/>
      <c r="AI14" s="35"/>
      <c r="AJ14" s="25"/>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row>
    <row r="15" spans="1:68" ht="32.25" customHeight="1" x14ac:dyDescent="0.3">
      <c r="A15" s="201"/>
      <c r="B15" s="204"/>
      <c r="C15" s="204"/>
      <c r="D15" s="204"/>
      <c r="E15" s="207"/>
      <c r="F15" s="204"/>
      <c r="G15" s="210"/>
      <c r="H15" s="213"/>
      <c r="I15" s="195"/>
      <c r="J15" s="216"/>
      <c r="K15" s="195">
        <f ca="1">IF(NOT(ISERROR(MATCH(J15,_xlfn.ANCHORARRAY(E20),0))),I28&amp;"Por favor no seleccionar los criterios de impacto",J15)</f>
        <v>0</v>
      </c>
      <c r="L15" s="213"/>
      <c r="M15" s="195"/>
      <c r="N15" s="198"/>
      <c r="O15" s="5">
        <v>6</v>
      </c>
      <c r="P15" s="26"/>
      <c r="Q15" s="28" t="str">
        <f t="shared" si="5"/>
        <v/>
      </c>
      <c r="R15" s="29"/>
      <c r="S15" s="29"/>
      <c r="T15" s="30" t="str">
        <f t="shared" si="0"/>
        <v/>
      </c>
      <c r="U15" s="29"/>
      <c r="V15" s="29"/>
      <c r="W15" s="29"/>
      <c r="X15" s="13" t="str">
        <f t="shared" si="6"/>
        <v/>
      </c>
      <c r="Y15" s="31" t="str">
        <f t="shared" si="1"/>
        <v/>
      </c>
      <c r="Z15" s="32" t="str">
        <f t="shared" si="2"/>
        <v/>
      </c>
      <c r="AA15" s="31" t="str">
        <f t="shared" si="3"/>
        <v/>
      </c>
      <c r="AB15" s="32" t="str">
        <f t="shared" si="7"/>
        <v/>
      </c>
      <c r="AC15" s="33" t="str">
        <f t="shared" si="8"/>
        <v/>
      </c>
      <c r="AD15" s="34"/>
      <c r="AE15" s="35"/>
      <c r="AF15" s="25"/>
      <c r="AG15" s="36"/>
      <c r="AH15" s="36"/>
      <c r="AI15" s="35"/>
      <c r="AJ15" s="25"/>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row>
    <row r="16" spans="1:68" ht="66.75" customHeight="1" x14ac:dyDescent="0.3">
      <c r="A16" s="199">
        <v>2</v>
      </c>
      <c r="B16" s="202" t="s">
        <v>130</v>
      </c>
      <c r="C16" s="202" t="s">
        <v>224</v>
      </c>
      <c r="D16" s="202" t="s">
        <v>225</v>
      </c>
      <c r="E16" s="205" t="s">
        <v>226</v>
      </c>
      <c r="F16" s="202" t="s">
        <v>121</v>
      </c>
      <c r="G16" s="208">
        <f>35*12</f>
        <v>420</v>
      </c>
      <c r="H16" s="211" t="str">
        <f>IF(G16&lt;=0,"",IF(G16&lt;=2,"Muy Baja",IF(G16&lt;=24,"Baja",IF(G16&lt;=500,"Media",IF(G16&lt;=5000,"Alta","Muy Alta")))))</f>
        <v>Media</v>
      </c>
      <c r="I16" s="193">
        <f>IF(H16="","",IF(H16="Muy Baja",0.2,IF(H16="Baja",0.4,IF(H16="Media",0.6,IF(H16="Alta",0.8,IF(H16="Muy Alta",1,))))))</f>
        <v>0.6</v>
      </c>
      <c r="J16" s="214" t="s">
        <v>153</v>
      </c>
      <c r="K16" s="193" t="str">
        <f ca="1">IF(NOT(ISERROR(MATCH(J16,'Tabla Impacto'!$B$221:$B$223,0))),'Tabla Impacto'!$F$223&amp;"Por favor no seleccionar los criterios de impacto(Afectación Económica o presupuestal y Pérdida Reputacional)",J16)</f>
        <v xml:space="preserve">     El riesgo afecta la imagen de la entidad con algunos usuarios de relevancia frente al logro de los objetivos</v>
      </c>
      <c r="L16" s="211"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3">
        <f ca="1">IF(L16="","",IF(L16="Leve",0.2,IF(L16="Menor",0.4,IF(L16="Moderado",0.6,IF(L16="Mayor",0.8,IF(L16="Catastrófico",1,))))))</f>
        <v>0.6</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5">
        <v>1</v>
      </c>
      <c r="P16" s="26" t="s">
        <v>231</v>
      </c>
      <c r="Q16" s="28" t="str">
        <f>IF(OR(R16="Preventivo",R16="Detectivo"),"Probabilidad",IF(R16="Correctivo","Impacto",""))</f>
        <v>Probabilidad</v>
      </c>
      <c r="R16" s="29" t="s">
        <v>15</v>
      </c>
      <c r="S16" s="29" t="s">
        <v>9</v>
      </c>
      <c r="T16" s="30" t="str">
        <f>IF(AND(R16="Preventivo",S16="Automático"),"50%",IF(AND(R16="Preventivo",S16="Manual"),"40%",IF(AND(R16="Detectivo",S16="Automático"),"40%",IF(AND(R16="Detectivo",S16="Manual"),"30%",IF(AND(R16="Correctivo",S16="Automático"),"35%",IF(AND(R16="Correctivo",S16="Manual"),"25%",""))))))</f>
        <v>30%</v>
      </c>
      <c r="U16" s="29" t="s">
        <v>19</v>
      </c>
      <c r="V16" s="29" t="s">
        <v>22</v>
      </c>
      <c r="W16" s="29" t="s">
        <v>117</v>
      </c>
      <c r="X16" s="13">
        <f>IFERROR(IF(Q16="Probabilidad",(I16-(+I16*T16)),IF(Q16="Impacto",I16,"")),"")</f>
        <v>0.42</v>
      </c>
      <c r="Y16" s="31" t="str">
        <f>IFERROR(IF(X16="","",IF(X16&lt;=0.2,"Muy Baja",IF(X16&lt;=0.4,"Baja",IF(X16&lt;=0.6,"Media",IF(X16&lt;=0.8,"Alta","Muy Alta"))))),"")</f>
        <v>Media</v>
      </c>
      <c r="Z16" s="32">
        <f>+X16</f>
        <v>0.42</v>
      </c>
      <c r="AA16" s="31" t="str">
        <f ca="1">IFERROR(IF(AB16="","",IF(AB16&lt;=0.2,"Leve",IF(AB16&lt;=0.4,"Menor",IF(AB16&lt;=0.6,"Moderado",IF(AB16&lt;=0.8,"Mayor","Catastrófico"))))),"")</f>
        <v>Moderado</v>
      </c>
      <c r="AB16" s="32">
        <f ca="1">IFERROR(IF(Q16="Impacto",(M16-(+M16*T16)),IF(Q16="Probabilidad",M16,"")),"")</f>
        <v>0.6</v>
      </c>
      <c r="AC16" s="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34" t="s">
        <v>31</v>
      </c>
      <c r="AE16" s="26"/>
      <c r="AF16" s="25"/>
      <c r="AG16" s="141"/>
      <c r="AH16" s="36"/>
      <c r="AI16" s="35"/>
      <c r="AJ16" s="25"/>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row>
    <row r="17" spans="1:68" ht="23.25" customHeight="1" x14ac:dyDescent="0.3">
      <c r="A17" s="200"/>
      <c r="B17" s="203"/>
      <c r="C17" s="203"/>
      <c r="D17" s="203"/>
      <c r="E17" s="206"/>
      <c r="F17" s="203"/>
      <c r="G17" s="209"/>
      <c r="H17" s="212"/>
      <c r="I17" s="194"/>
      <c r="J17" s="215"/>
      <c r="K17" s="194">
        <f ca="1">IF(NOT(ISERROR(MATCH(J17,_xlfn.ANCHORARRAY(E34),0))),I36&amp;"Por favor no seleccionar los criterios de impacto",J17)</f>
        <v>0</v>
      </c>
      <c r="L17" s="212"/>
      <c r="M17" s="194"/>
      <c r="N17" s="197"/>
      <c r="O17" s="5">
        <v>2</v>
      </c>
      <c r="P17" s="26"/>
      <c r="Q17" s="28" t="str">
        <f>IF(OR(R17="Preventivo",R17="Detectivo"),"Probabilidad",IF(R17="Correctivo","Impacto",""))</f>
        <v/>
      </c>
      <c r="R17" s="29"/>
      <c r="S17" s="29"/>
      <c r="T17" s="30" t="str">
        <f t="shared" ref="T17:T21" si="9">IF(AND(R17="Preventivo",S17="Automático"),"50%",IF(AND(R17="Preventivo",S17="Manual"),"40%",IF(AND(R17="Detectivo",S17="Automático"),"40%",IF(AND(R17="Detectivo",S17="Manual"),"30%",IF(AND(R17="Correctivo",S17="Automático"),"35%",IF(AND(R17="Correctivo",S17="Manual"),"25%",""))))))</f>
        <v/>
      </c>
      <c r="U17" s="29"/>
      <c r="V17" s="29"/>
      <c r="W17" s="29"/>
      <c r="X17" s="13" t="str">
        <f>IFERROR(IF(AND(Q16="Probabilidad",Q17="Probabilidad"),(Z16-(+Z16*T17)),IF(Q17="Probabilidad",(I16-(+I16*T17)),IF(Q17="Impacto",Z16,""))),"")</f>
        <v/>
      </c>
      <c r="Y17" s="31" t="str">
        <f t="shared" si="1"/>
        <v/>
      </c>
      <c r="Z17" s="32" t="str">
        <f t="shared" ref="Z17:Z21" si="10">+X17</f>
        <v/>
      </c>
      <c r="AA17" s="31" t="str">
        <f t="shared" si="3"/>
        <v/>
      </c>
      <c r="AB17" s="32" t="str">
        <f>IFERROR(IF(AND(Q16="Impacto",Q17="Impacto"),(#REF!-(+#REF!*T17)),IF(Q17="Impacto",($M$16-(+$M$16*T17)),IF(Q17="Probabilidad",AB16,""))),"")</f>
        <v/>
      </c>
      <c r="AC17" s="33" t="str">
        <f t="shared" ref="AC17:AC18" si="11">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34"/>
      <c r="AE17" s="26"/>
      <c r="AF17" s="25"/>
      <c r="AG17" s="141"/>
      <c r="AH17" s="36"/>
      <c r="AI17" s="35"/>
      <c r="AJ17" s="25"/>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row>
    <row r="18" spans="1:68" ht="23.25" customHeight="1" x14ac:dyDescent="0.3">
      <c r="A18" s="200"/>
      <c r="B18" s="203"/>
      <c r="C18" s="203"/>
      <c r="D18" s="203"/>
      <c r="E18" s="206"/>
      <c r="F18" s="203"/>
      <c r="G18" s="209"/>
      <c r="H18" s="212"/>
      <c r="I18" s="194"/>
      <c r="J18" s="215"/>
      <c r="K18" s="194">
        <f ca="1">IF(NOT(ISERROR(MATCH(J18,_xlfn.ANCHORARRAY(E35),0))),I37&amp;"Por favor no seleccionar los criterios de impacto",J18)</f>
        <v>0</v>
      </c>
      <c r="L18" s="212"/>
      <c r="M18" s="194"/>
      <c r="N18" s="197"/>
      <c r="O18" s="5">
        <v>3</v>
      </c>
      <c r="P18" s="27"/>
      <c r="Q18" s="28" t="str">
        <f>IF(OR(R18="Preventivo",R18="Detectivo"),"Probabilidad",IF(R18="Correctivo","Impacto",""))</f>
        <v/>
      </c>
      <c r="R18" s="29"/>
      <c r="S18" s="29"/>
      <c r="T18" s="30" t="str">
        <f t="shared" si="9"/>
        <v/>
      </c>
      <c r="U18" s="29"/>
      <c r="V18" s="29"/>
      <c r="W18" s="29"/>
      <c r="X18" s="13" t="str">
        <f>IFERROR(IF(AND(Q17="Probabilidad",Q18="Probabilidad"),(Z17-(+Z17*T18)),IF(AND(Q17="Impacto",Q18="Probabilidad"),(Z16-(+Z16*T18)),IF(Q18="Impacto",Z17,""))),"")</f>
        <v/>
      </c>
      <c r="Y18" s="31" t="str">
        <f t="shared" si="1"/>
        <v/>
      </c>
      <c r="Z18" s="32" t="str">
        <f t="shared" si="10"/>
        <v/>
      </c>
      <c r="AA18" s="31" t="str">
        <f t="shared" si="3"/>
        <v/>
      </c>
      <c r="AB18" s="32" t="str">
        <f>IFERROR(IF(AND(Q17="Impacto",Q18="Impacto"),(AB17-(+AB17*T18)),IF(AND(Q17="Probabilidad",Q18="Impacto"),(AB16-(+AB16*T18)),IF(Q18="Probabilidad",AB17,""))),"")</f>
        <v/>
      </c>
      <c r="AC18" s="33" t="str">
        <f t="shared" si="11"/>
        <v/>
      </c>
      <c r="AD18" s="34"/>
      <c r="AE18" s="35"/>
      <c r="AF18" s="25"/>
      <c r="AG18" s="36"/>
      <c r="AH18" s="36"/>
      <c r="AI18" s="35"/>
      <c r="AJ18" s="25"/>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row>
    <row r="19" spans="1:68" ht="23.25" customHeight="1" x14ac:dyDescent="0.3">
      <c r="A19" s="200"/>
      <c r="B19" s="203"/>
      <c r="C19" s="203"/>
      <c r="D19" s="203"/>
      <c r="E19" s="206"/>
      <c r="F19" s="203"/>
      <c r="G19" s="209"/>
      <c r="H19" s="212"/>
      <c r="I19" s="194"/>
      <c r="J19" s="215"/>
      <c r="K19" s="194">
        <f ca="1">IF(NOT(ISERROR(MATCH(J19,_xlfn.ANCHORARRAY(E36),0))),I38&amp;"Por favor no seleccionar los criterios de impacto",J19)</f>
        <v>0</v>
      </c>
      <c r="L19" s="212"/>
      <c r="M19" s="194"/>
      <c r="N19" s="197"/>
      <c r="O19" s="5">
        <v>4</v>
      </c>
      <c r="P19" s="26"/>
      <c r="Q19" s="28" t="str">
        <f t="shared" ref="Q19:Q21" si="12">IF(OR(R19="Preventivo",R19="Detectivo"),"Probabilidad",IF(R19="Correctivo","Impacto",""))</f>
        <v/>
      </c>
      <c r="R19" s="29"/>
      <c r="S19" s="29"/>
      <c r="T19" s="30" t="str">
        <f t="shared" si="9"/>
        <v/>
      </c>
      <c r="U19" s="29"/>
      <c r="V19" s="29"/>
      <c r="W19" s="29"/>
      <c r="X19" s="13" t="str">
        <f t="shared" ref="X19:X21" si="13">IFERROR(IF(AND(Q18="Probabilidad",Q19="Probabilidad"),(Z18-(+Z18*T19)),IF(AND(Q18="Impacto",Q19="Probabilidad"),(Z17-(+Z17*T19)),IF(Q19="Impacto",Z18,""))),"")</f>
        <v/>
      </c>
      <c r="Y19" s="31" t="str">
        <f t="shared" si="1"/>
        <v/>
      </c>
      <c r="Z19" s="32" t="str">
        <f t="shared" si="10"/>
        <v/>
      </c>
      <c r="AA19" s="31" t="str">
        <f t="shared" si="3"/>
        <v/>
      </c>
      <c r="AB19" s="32" t="str">
        <f t="shared" ref="AB19:AB21" si="14">IFERROR(IF(AND(Q18="Impacto",Q19="Impacto"),(AB18-(+AB18*T19)),IF(AND(Q18="Probabilidad",Q19="Impacto"),(AB17-(+AB17*T19)),IF(Q19="Probabilidad",AB18,""))),"")</f>
        <v/>
      </c>
      <c r="AC19" s="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34"/>
      <c r="AE19" s="35"/>
      <c r="AF19" s="25"/>
      <c r="AG19" s="36"/>
      <c r="AH19" s="36"/>
      <c r="AI19" s="35"/>
      <c r="AJ19" s="25"/>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row>
    <row r="20" spans="1:68" ht="23.25" customHeight="1" x14ac:dyDescent="0.3">
      <c r="A20" s="200"/>
      <c r="B20" s="203"/>
      <c r="C20" s="203"/>
      <c r="D20" s="203"/>
      <c r="E20" s="206"/>
      <c r="F20" s="203"/>
      <c r="G20" s="209"/>
      <c r="H20" s="212"/>
      <c r="I20" s="194"/>
      <c r="J20" s="215"/>
      <c r="K20" s="194">
        <f ca="1">IF(NOT(ISERROR(MATCH(J20,_xlfn.ANCHORARRAY(E37),0))),I39&amp;"Por favor no seleccionar los criterios de impacto",J20)</f>
        <v>0</v>
      </c>
      <c r="L20" s="212"/>
      <c r="M20" s="194"/>
      <c r="N20" s="197"/>
      <c r="O20" s="5">
        <v>5</v>
      </c>
      <c r="P20" s="26"/>
      <c r="Q20" s="28" t="str">
        <f t="shared" si="12"/>
        <v/>
      </c>
      <c r="R20" s="29"/>
      <c r="S20" s="29"/>
      <c r="T20" s="30" t="str">
        <f t="shared" si="9"/>
        <v/>
      </c>
      <c r="U20" s="29"/>
      <c r="V20" s="29"/>
      <c r="W20" s="29"/>
      <c r="X20" s="13" t="str">
        <f t="shared" si="13"/>
        <v/>
      </c>
      <c r="Y20" s="31" t="str">
        <f t="shared" si="1"/>
        <v/>
      </c>
      <c r="Z20" s="32" t="str">
        <f t="shared" si="10"/>
        <v/>
      </c>
      <c r="AA20" s="31" t="str">
        <f t="shared" si="3"/>
        <v/>
      </c>
      <c r="AB20" s="32" t="str">
        <f t="shared" si="14"/>
        <v/>
      </c>
      <c r="AC20" s="33" t="str">
        <f t="shared" ref="AC20:AC21" si="15">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34"/>
      <c r="AE20" s="35"/>
      <c r="AF20" s="25"/>
      <c r="AG20" s="36"/>
      <c r="AH20" s="36"/>
      <c r="AI20" s="35"/>
      <c r="AJ20" s="25"/>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row>
    <row r="21" spans="1:68" ht="23.25" customHeight="1" x14ac:dyDescent="0.3">
      <c r="A21" s="201"/>
      <c r="B21" s="204"/>
      <c r="C21" s="204"/>
      <c r="D21" s="204"/>
      <c r="E21" s="207"/>
      <c r="F21" s="204"/>
      <c r="G21" s="210"/>
      <c r="H21" s="213"/>
      <c r="I21" s="195"/>
      <c r="J21" s="216"/>
      <c r="K21" s="195">
        <f ca="1">IF(NOT(ISERROR(MATCH(J21,_xlfn.ANCHORARRAY(E38),0))),I40&amp;"Por favor no seleccionar los criterios de impacto",J21)</f>
        <v>0</v>
      </c>
      <c r="L21" s="213"/>
      <c r="M21" s="195"/>
      <c r="N21" s="198"/>
      <c r="O21" s="5">
        <v>6</v>
      </c>
      <c r="P21" s="26"/>
      <c r="Q21" s="28" t="str">
        <f t="shared" si="12"/>
        <v/>
      </c>
      <c r="R21" s="29"/>
      <c r="S21" s="29"/>
      <c r="T21" s="30" t="str">
        <f t="shared" si="9"/>
        <v/>
      </c>
      <c r="U21" s="29"/>
      <c r="V21" s="29"/>
      <c r="W21" s="29"/>
      <c r="X21" s="13" t="str">
        <f t="shared" si="13"/>
        <v/>
      </c>
      <c r="Y21" s="31" t="str">
        <f t="shared" si="1"/>
        <v/>
      </c>
      <c r="Z21" s="32" t="str">
        <f t="shared" si="10"/>
        <v/>
      </c>
      <c r="AA21" s="31" t="str">
        <f t="shared" si="3"/>
        <v/>
      </c>
      <c r="AB21" s="32" t="str">
        <f t="shared" si="14"/>
        <v/>
      </c>
      <c r="AC21" s="33" t="str">
        <f t="shared" si="15"/>
        <v/>
      </c>
      <c r="AD21" s="34"/>
      <c r="AE21" s="35"/>
      <c r="AF21" s="25"/>
      <c r="AG21" s="36"/>
      <c r="AH21" s="36"/>
      <c r="AI21" s="35"/>
      <c r="AJ21" s="25"/>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row>
    <row r="22" spans="1:68" ht="108.75" customHeight="1" x14ac:dyDescent="0.3">
      <c r="A22" s="199">
        <v>3</v>
      </c>
      <c r="B22" s="202" t="s">
        <v>130</v>
      </c>
      <c r="C22" s="202" t="s">
        <v>224</v>
      </c>
      <c r="D22" s="202" t="s">
        <v>227</v>
      </c>
      <c r="E22" s="205" t="s">
        <v>228</v>
      </c>
      <c r="F22" s="202" t="s">
        <v>121</v>
      </c>
      <c r="G22" s="208">
        <f>70*12</f>
        <v>840</v>
      </c>
      <c r="H22" s="211" t="str">
        <f>IF(G22&lt;=0,"",IF(G22&lt;=2,"Muy Baja",IF(G22&lt;=24,"Baja",IF(G22&lt;=500,"Media",IF(G22&lt;=5000,"Alta","Muy Alta")))))</f>
        <v>Alta</v>
      </c>
      <c r="I22" s="193">
        <f>IF(H22="","",IF(H22="Muy Baja",0.2,IF(H22="Baja",0.4,IF(H22="Media",0.6,IF(H22="Alta",0.8,IF(H22="Muy Alta",1,))))))</f>
        <v>0.8</v>
      </c>
      <c r="J22" s="214" t="s">
        <v>153</v>
      </c>
      <c r="K22" s="193" t="str">
        <f ca="1">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211"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3">
        <f ca="1">IF(L22="","",IF(L22="Leve",0.2,IF(L22="Menor",0.4,IF(L22="Moderado",0.6,IF(L22="Mayor",0.8,IF(L22="Catastrófico",1,))))))</f>
        <v>0.6</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Alto</v>
      </c>
      <c r="O22" s="5">
        <v>1</v>
      </c>
      <c r="P22" s="26" t="s">
        <v>230</v>
      </c>
      <c r="Q22" s="28" t="str">
        <f>IF(OR(R22="Preventivo",R22="Detectivo"),"Probabilidad",IF(R22="Correctivo","Impacto",""))</f>
        <v/>
      </c>
      <c r="R22" s="29"/>
      <c r="S22" s="29"/>
      <c r="T22" s="30" t="str">
        <f>IF(AND(R22="Preventivo",S22="Automático"),"50%",IF(AND(R22="Preventivo",S22="Manual"),"40%",IF(AND(R22="Detectivo",S22="Automático"),"40%",IF(AND(R22="Detectivo",S22="Manual"),"30%",IF(AND(R22="Correctivo",S22="Automático"),"35%",IF(AND(R22="Correctivo",S22="Manual"),"25%",""))))))</f>
        <v/>
      </c>
      <c r="U22" s="29"/>
      <c r="V22" s="29"/>
      <c r="W22" s="29"/>
      <c r="X22" s="13" t="str">
        <f>IFERROR(IF(Q22="Probabilidad",(I22-(+I22*T22)),IF(Q22="Impacto",I22,"")),"")</f>
        <v/>
      </c>
      <c r="Y22" s="31" t="str">
        <f>IFERROR(IF(X22="","",IF(X22&lt;=0.2,"Muy Baja",IF(X22&lt;=0.4,"Baja",IF(X22&lt;=0.6,"Media",IF(X22&lt;=0.8,"Alta","Muy Alta"))))),"")</f>
        <v/>
      </c>
      <c r="Z22" s="32" t="str">
        <f>+X22</f>
        <v/>
      </c>
      <c r="AA22" s="31" t="str">
        <f>IFERROR(IF(AB22="","",IF(AB22&lt;=0.2,"Leve",IF(AB22&lt;=0.4,"Menor",IF(AB22&lt;=0.6,"Moderado",IF(AB22&lt;=0.8,"Mayor","Catastrófico"))))),"")</f>
        <v/>
      </c>
      <c r="AB22" s="32" t="str">
        <f>IFERROR(IF(Q22="Impacto",(M22-(+M22*T22)),IF(Q22="Probabilidad",M22,"")),"")</f>
        <v/>
      </c>
      <c r="AC22" s="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34" t="s">
        <v>134</v>
      </c>
      <c r="AE22" s="26" t="s">
        <v>229</v>
      </c>
      <c r="AF22" s="25" t="s">
        <v>235</v>
      </c>
      <c r="AG22" s="141" t="s">
        <v>236</v>
      </c>
      <c r="AH22" s="36"/>
      <c r="AI22" s="35"/>
      <c r="AJ22" s="25"/>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row>
    <row r="23" spans="1:68" ht="23.25" customHeight="1" x14ac:dyDescent="0.3">
      <c r="A23" s="200"/>
      <c r="B23" s="203"/>
      <c r="C23" s="203"/>
      <c r="D23" s="203"/>
      <c r="E23" s="206"/>
      <c r="F23" s="203"/>
      <c r="G23" s="209"/>
      <c r="H23" s="212"/>
      <c r="I23" s="194"/>
      <c r="J23" s="215"/>
      <c r="K23" s="194">
        <f ca="1">IF(NOT(ISERROR(MATCH(J23,_xlfn.ANCHORARRAY(E40),0))),I42&amp;"Por favor no seleccionar los criterios de impacto",J23)</f>
        <v>0</v>
      </c>
      <c r="L23" s="212"/>
      <c r="M23" s="194"/>
      <c r="N23" s="197"/>
      <c r="O23" s="5">
        <v>2</v>
      </c>
      <c r="P23" s="26"/>
      <c r="Q23" s="28" t="str">
        <f>IF(OR(R23="Preventivo",R23="Detectivo"),"Probabilidad",IF(R23="Correctivo","Impacto",""))</f>
        <v/>
      </c>
      <c r="R23" s="29"/>
      <c r="S23" s="29"/>
      <c r="T23" s="30" t="str">
        <f t="shared" ref="T23:T27" si="16">IF(AND(R23="Preventivo",S23="Automático"),"50%",IF(AND(R23="Preventivo",S23="Manual"),"40%",IF(AND(R23="Detectivo",S23="Automático"),"40%",IF(AND(R23="Detectivo",S23="Manual"),"30%",IF(AND(R23="Correctivo",S23="Automático"),"35%",IF(AND(R23="Correctivo",S23="Manual"),"25%",""))))))</f>
        <v/>
      </c>
      <c r="U23" s="29"/>
      <c r="V23" s="29"/>
      <c r="W23" s="29"/>
      <c r="X23" s="13" t="str">
        <f>IFERROR(IF(AND(Q22="Probabilidad",Q23="Probabilidad"),(Z22-(+Z22*T23)),IF(Q23="Probabilidad",(I22-(+I22*T23)),IF(Q23="Impacto",Z22,""))),"")</f>
        <v/>
      </c>
      <c r="Y23" s="31" t="str">
        <f t="shared" ref="Y23:Y27" si="17">IFERROR(IF(X23="","",IF(X23&lt;=0.2,"Muy Baja",IF(X23&lt;=0.4,"Baja",IF(X23&lt;=0.6,"Media",IF(X23&lt;=0.8,"Alta","Muy Alta"))))),"")</f>
        <v/>
      </c>
      <c r="Z23" s="32" t="str">
        <f t="shared" ref="Z23:Z27" si="18">+X23</f>
        <v/>
      </c>
      <c r="AA23" s="31" t="str">
        <f t="shared" ref="AA23:AA27" si="19">IFERROR(IF(AB23="","",IF(AB23&lt;=0.2,"Leve",IF(AB23&lt;=0.4,"Menor",IF(AB23&lt;=0.6,"Moderado",IF(AB23&lt;=0.8,"Mayor","Catastrófico"))))),"")</f>
        <v/>
      </c>
      <c r="AB23" s="32" t="str">
        <f>IFERROR(IF(AND(Q22="Impacto",Q23="Impacto"),(#REF!-(+#REF!*T23)),IF(Q23="Impacto",($M$16-(+$M$16*T23)),IF(Q23="Probabilidad",AB22,""))),"")</f>
        <v/>
      </c>
      <c r="AC23" s="33" t="str">
        <f t="shared" ref="AC23:AC24" si="20">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34"/>
      <c r="AE23" s="26"/>
      <c r="AF23" s="25"/>
      <c r="AG23" s="141"/>
      <c r="AH23" s="36"/>
      <c r="AI23" s="35"/>
      <c r="AJ23" s="25"/>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row>
    <row r="24" spans="1:68" ht="23.25" customHeight="1" x14ac:dyDescent="0.3">
      <c r="A24" s="200"/>
      <c r="B24" s="203"/>
      <c r="C24" s="203"/>
      <c r="D24" s="203"/>
      <c r="E24" s="206"/>
      <c r="F24" s="203"/>
      <c r="G24" s="209"/>
      <c r="H24" s="212"/>
      <c r="I24" s="194"/>
      <c r="J24" s="215"/>
      <c r="K24" s="194">
        <f ca="1">IF(NOT(ISERROR(MATCH(J24,_xlfn.ANCHORARRAY(E41),0))),I43&amp;"Por favor no seleccionar los criterios de impacto",J24)</f>
        <v>0</v>
      </c>
      <c r="L24" s="212"/>
      <c r="M24" s="194"/>
      <c r="N24" s="197"/>
      <c r="O24" s="5">
        <v>3</v>
      </c>
      <c r="P24" s="27"/>
      <c r="Q24" s="28" t="str">
        <f>IF(OR(R24="Preventivo",R24="Detectivo"),"Probabilidad",IF(R24="Correctivo","Impacto",""))</f>
        <v/>
      </c>
      <c r="R24" s="29"/>
      <c r="S24" s="29"/>
      <c r="T24" s="30" t="str">
        <f t="shared" si="16"/>
        <v/>
      </c>
      <c r="U24" s="29"/>
      <c r="V24" s="29"/>
      <c r="W24" s="29"/>
      <c r="X24" s="13" t="str">
        <f>IFERROR(IF(AND(Q23="Probabilidad",Q24="Probabilidad"),(Z23-(+Z23*T24)),IF(AND(Q23="Impacto",Q24="Probabilidad"),(Z22-(+Z22*T24)),IF(Q24="Impacto",Z23,""))),"")</f>
        <v/>
      </c>
      <c r="Y24" s="31" t="str">
        <f t="shared" si="17"/>
        <v/>
      </c>
      <c r="Z24" s="32" t="str">
        <f t="shared" si="18"/>
        <v/>
      </c>
      <c r="AA24" s="31" t="str">
        <f t="shared" si="19"/>
        <v/>
      </c>
      <c r="AB24" s="32" t="str">
        <f>IFERROR(IF(AND(Q23="Impacto",Q24="Impacto"),(AB23-(+AB23*T24)),IF(AND(Q23="Probabilidad",Q24="Impacto"),(AB22-(+AB22*T24)),IF(Q24="Probabilidad",AB23,""))),"")</f>
        <v/>
      </c>
      <c r="AC24" s="33" t="str">
        <f t="shared" si="20"/>
        <v/>
      </c>
      <c r="AD24" s="34"/>
      <c r="AE24" s="35"/>
      <c r="AF24" s="25"/>
      <c r="AG24" s="36"/>
      <c r="AH24" s="36"/>
      <c r="AI24" s="35"/>
      <c r="AJ24" s="25"/>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row>
    <row r="25" spans="1:68" ht="23.25" customHeight="1" x14ac:dyDescent="0.3">
      <c r="A25" s="200"/>
      <c r="B25" s="203"/>
      <c r="C25" s="203"/>
      <c r="D25" s="203"/>
      <c r="E25" s="206"/>
      <c r="F25" s="203"/>
      <c r="G25" s="209"/>
      <c r="H25" s="212"/>
      <c r="I25" s="194"/>
      <c r="J25" s="215"/>
      <c r="K25" s="194">
        <f ca="1">IF(NOT(ISERROR(MATCH(J25,_xlfn.ANCHORARRAY(E42),0))),I44&amp;"Por favor no seleccionar los criterios de impacto",J25)</f>
        <v>0</v>
      </c>
      <c r="L25" s="212"/>
      <c r="M25" s="194"/>
      <c r="N25" s="197"/>
      <c r="O25" s="5">
        <v>4</v>
      </c>
      <c r="P25" s="26"/>
      <c r="Q25" s="28" t="str">
        <f t="shared" ref="Q25:Q27" si="21">IF(OR(R25="Preventivo",R25="Detectivo"),"Probabilidad",IF(R25="Correctivo","Impacto",""))</f>
        <v/>
      </c>
      <c r="R25" s="29"/>
      <c r="S25" s="29"/>
      <c r="T25" s="30" t="str">
        <f t="shared" si="16"/>
        <v/>
      </c>
      <c r="U25" s="29"/>
      <c r="V25" s="29"/>
      <c r="W25" s="29"/>
      <c r="X25" s="13" t="str">
        <f t="shared" ref="X25:X27" si="22">IFERROR(IF(AND(Q24="Probabilidad",Q25="Probabilidad"),(Z24-(+Z24*T25)),IF(AND(Q24="Impacto",Q25="Probabilidad"),(Z23-(+Z23*T25)),IF(Q25="Impacto",Z24,""))),"")</f>
        <v/>
      </c>
      <c r="Y25" s="31" t="str">
        <f t="shared" si="17"/>
        <v/>
      </c>
      <c r="Z25" s="32" t="str">
        <f t="shared" si="18"/>
        <v/>
      </c>
      <c r="AA25" s="31" t="str">
        <f t="shared" si="19"/>
        <v/>
      </c>
      <c r="AB25" s="32" t="str">
        <f t="shared" ref="AB25:AB27" si="23">IFERROR(IF(AND(Q24="Impacto",Q25="Impacto"),(AB24-(+AB24*T25)),IF(AND(Q24="Probabilidad",Q25="Impacto"),(AB23-(+AB23*T25)),IF(Q25="Probabilidad",AB24,""))),"")</f>
        <v/>
      </c>
      <c r="AC25" s="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34"/>
      <c r="AE25" s="35"/>
      <c r="AF25" s="25"/>
      <c r="AG25" s="36"/>
      <c r="AH25" s="36"/>
      <c r="AI25" s="35"/>
      <c r="AJ25" s="25"/>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row>
    <row r="26" spans="1:68" ht="23.25" customHeight="1" x14ac:dyDescent="0.3">
      <c r="A26" s="200"/>
      <c r="B26" s="203"/>
      <c r="C26" s="203"/>
      <c r="D26" s="203"/>
      <c r="E26" s="206"/>
      <c r="F26" s="203"/>
      <c r="G26" s="209"/>
      <c r="H26" s="212"/>
      <c r="I26" s="194"/>
      <c r="J26" s="215"/>
      <c r="K26" s="194">
        <f ca="1">IF(NOT(ISERROR(MATCH(J26,_xlfn.ANCHORARRAY(E43),0))),I45&amp;"Por favor no seleccionar los criterios de impacto",J26)</f>
        <v>0</v>
      </c>
      <c r="L26" s="212"/>
      <c r="M26" s="194"/>
      <c r="N26" s="197"/>
      <c r="O26" s="5">
        <v>5</v>
      </c>
      <c r="P26" s="26"/>
      <c r="Q26" s="28" t="str">
        <f t="shared" si="21"/>
        <v/>
      </c>
      <c r="R26" s="29"/>
      <c r="S26" s="29"/>
      <c r="T26" s="30" t="str">
        <f t="shared" si="16"/>
        <v/>
      </c>
      <c r="U26" s="29"/>
      <c r="V26" s="29"/>
      <c r="W26" s="29"/>
      <c r="X26" s="13" t="str">
        <f t="shared" si="22"/>
        <v/>
      </c>
      <c r="Y26" s="31" t="str">
        <f t="shared" si="17"/>
        <v/>
      </c>
      <c r="Z26" s="32" t="str">
        <f t="shared" si="18"/>
        <v/>
      </c>
      <c r="AA26" s="31" t="str">
        <f t="shared" si="19"/>
        <v/>
      </c>
      <c r="AB26" s="32" t="str">
        <f t="shared" si="23"/>
        <v/>
      </c>
      <c r="AC26" s="33" t="str">
        <f t="shared" ref="AC26:AC27" si="24">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34"/>
      <c r="AE26" s="35"/>
      <c r="AF26" s="25"/>
      <c r="AG26" s="36"/>
      <c r="AH26" s="36"/>
      <c r="AI26" s="35"/>
      <c r="AJ26" s="25"/>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row>
    <row r="27" spans="1:68" ht="23.25" customHeight="1" x14ac:dyDescent="0.3">
      <c r="A27" s="201"/>
      <c r="B27" s="204"/>
      <c r="C27" s="204"/>
      <c r="D27" s="204"/>
      <c r="E27" s="207"/>
      <c r="F27" s="204"/>
      <c r="G27" s="210"/>
      <c r="H27" s="213"/>
      <c r="I27" s="195"/>
      <c r="J27" s="216"/>
      <c r="K27" s="195">
        <f ca="1">IF(NOT(ISERROR(MATCH(J27,_xlfn.ANCHORARRAY(E44),0))),I46&amp;"Por favor no seleccionar los criterios de impacto",J27)</f>
        <v>0</v>
      </c>
      <c r="L27" s="213"/>
      <c r="M27" s="195"/>
      <c r="N27" s="198"/>
      <c r="O27" s="5">
        <v>6</v>
      </c>
      <c r="P27" s="26"/>
      <c r="Q27" s="28" t="str">
        <f t="shared" si="21"/>
        <v/>
      </c>
      <c r="R27" s="29"/>
      <c r="S27" s="29"/>
      <c r="T27" s="30" t="str">
        <f t="shared" si="16"/>
        <v/>
      </c>
      <c r="U27" s="29"/>
      <c r="V27" s="29"/>
      <c r="W27" s="29"/>
      <c r="X27" s="13" t="str">
        <f t="shared" si="22"/>
        <v/>
      </c>
      <c r="Y27" s="31" t="str">
        <f t="shared" si="17"/>
        <v/>
      </c>
      <c r="Z27" s="32" t="str">
        <f t="shared" si="18"/>
        <v/>
      </c>
      <c r="AA27" s="31" t="str">
        <f t="shared" si="19"/>
        <v/>
      </c>
      <c r="AB27" s="32" t="str">
        <f t="shared" si="23"/>
        <v/>
      </c>
      <c r="AC27" s="33" t="str">
        <f t="shared" si="24"/>
        <v/>
      </c>
      <c r="AD27" s="34"/>
      <c r="AE27" s="35"/>
      <c r="AF27" s="25"/>
      <c r="AG27" s="36"/>
      <c r="AH27" s="36"/>
      <c r="AI27" s="35"/>
      <c r="AJ27" s="25"/>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row>
    <row r="28" spans="1:68" ht="87.75" customHeight="1" x14ac:dyDescent="0.3">
      <c r="A28" s="199">
        <v>4</v>
      </c>
      <c r="B28" s="202" t="s">
        <v>131</v>
      </c>
      <c r="C28" s="202" t="s">
        <v>220</v>
      </c>
      <c r="D28" s="202" t="s">
        <v>218</v>
      </c>
      <c r="E28" s="205" t="s">
        <v>238</v>
      </c>
      <c r="F28" s="202" t="s">
        <v>121</v>
      </c>
      <c r="G28" s="208">
        <v>2400</v>
      </c>
      <c r="H28" s="211" t="str">
        <f>IF(G28&lt;=0,"",IF(G28&lt;=2,"Muy Baja",IF(G28&lt;=24,"Baja",IF(G28&lt;=500,"Media",IF(G28&lt;=5000,"Alta","Muy Alta")))))</f>
        <v>Alta</v>
      </c>
      <c r="I28" s="193">
        <f>IF(H28="","",IF(H28="Muy Baja",0.2,IF(H28="Baja",0.4,IF(H28="Media",0.6,IF(H28="Alta",0.8,IF(H28="Muy Alta",1,))))))</f>
        <v>0.8</v>
      </c>
      <c r="J28" s="214" t="s">
        <v>147</v>
      </c>
      <c r="K28" s="193" t="str">
        <f ca="1">IF(NOT(ISERROR(MATCH(J28,'Tabla Impacto'!$B$221:$B$223,0))),'Tabla Impacto'!$F$223&amp;"Por favor no seleccionar los criterios de impacto(Afectación Económica o presupuestal y Pérdida Reputacional)",J28)</f>
        <v xml:space="preserve">     Entre 50 y 100 SMLMV </v>
      </c>
      <c r="L28" s="211"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3">
        <f ca="1">IF(L28="","",IF(L28="Leve",0.2,IF(L28="Menor",0.4,IF(L28="Moderado",0.6,IF(L28="Mayor",0.8,IF(L28="Catastrófico",1,))))))</f>
        <v>0.6</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Alto</v>
      </c>
      <c r="O28" s="5">
        <v>1</v>
      </c>
      <c r="P28" s="26" t="s">
        <v>232</v>
      </c>
      <c r="Q28" s="28" t="str">
        <f>IF(OR(R28="Preventivo",R28="Detectivo"),"Probabilidad",IF(R28="Correctivo","Impacto",""))</f>
        <v>Probabilidad</v>
      </c>
      <c r="R28" s="29" t="s">
        <v>15</v>
      </c>
      <c r="S28" s="29" t="s">
        <v>9</v>
      </c>
      <c r="T28" s="30" t="str">
        <f>IF(AND(R28="Preventivo",S28="Automático"),"50%",IF(AND(R28="Preventivo",S28="Manual"),"40%",IF(AND(R28="Detectivo",S28="Automático"),"40%",IF(AND(R28="Detectivo",S28="Manual"),"30%",IF(AND(R28="Correctivo",S28="Automático"),"35%",IF(AND(R28="Correctivo",S28="Manual"),"25%",""))))))</f>
        <v>30%</v>
      </c>
      <c r="U28" s="29" t="s">
        <v>19</v>
      </c>
      <c r="V28" s="29" t="s">
        <v>22</v>
      </c>
      <c r="W28" s="29" t="s">
        <v>117</v>
      </c>
      <c r="X28" s="13">
        <f>IFERROR(IF(Q28="Probabilidad",(I28-(+I28*T28)),IF(Q28="Impacto",I28,"")),"")</f>
        <v>0.56000000000000005</v>
      </c>
      <c r="Y28" s="31" t="str">
        <f>IFERROR(IF(X28="","",IF(X28&lt;=0.2,"Muy Baja",IF(X28&lt;=0.4,"Baja",IF(X28&lt;=0.6,"Media",IF(X28&lt;=0.8,"Alta","Muy Alta"))))),"")</f>
        <v>Media</v>
      </c>
      <c r="Z28" s="32">
        <f>+X28</f>
        <v>0.56000000000000005</v>
      </c>
      <c r="AA28" s="31" t="str">
        <f ca="1">IFERROR(IF(AB28="","",IF(AB28&lt;=0.2,"Leve",IF(AB28&lt;=0.4,"Menor",IF(AB28&lt;=0.6,"Moderado",IF(AB28&lt;=0.8,"Mayor","Catastrófico"))))),"")</f>
        <v>Moderado</v>
      </c>
      <c r="AB28" s="32">
        <f ca="1">IFERROR(IF(Q28="Impacto",(M28-(+M28*T28)),IF(Q28="Probabilidad",M28,"")),"")</f>
        <v>0.6</v>
      </c>
      <c r="AC28" s="33"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34" t="s">
        <v>31</v>
      </c>
      <c r="AE28" s="26"/>
      <c r="AF28" s="35"/>
      <c r="AG28" s="141"/>
      <c r="AH28" s="36"/>
      <c r="AI28" s="35"/>
      <c r="AJ28" s="140"/>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row>
    <row r="29" spans="1:68" ht="70.5" customHeight="1" x14ac:dyDescent="0.3">
      <c r="A29" s="200"/>
      <c r="B29" s="203"/>
      <c r="C29" s="203"/>
      <c r="D29" s="203"/>
      <c r="E29" s="206"/>
      <c r="F29" s="203"/>
      <c r="G29" s="209"/>
      <c r="H29" s="212"/>
      <c r="I29" s="194"/>
      <c r="J29" s="215"/>
      <c r="K29" s="194">
        <f t="shared" ref="K29:K33" ca="1" si="25">IF(NOT(ISERROR(MATCH(J29,_xlfn.ANCHORARRAY(E40),0))),I42&amp;"Por favor no seleccionar los criterios de impacto",J29)</f>
        <v>0</v>
      </c>
      <c r="L29" s="212"/>
      <c r="M29" s="194"/>
      <c r="N29" s="197"/>
      <c r="O29" s="5">
        <v>2</v>
      </c>
      <c r="P29" s="26" t="s">
        <v>233</v>
      </c>
      <c r="Q29" s="28" t="str">
        <f>IF(OR(R29="Preventivo",R29="Detectivo"),"Probabilidad",IF(R29="Correctivo","Impacto",""))</f>
        <v>Probabilidad</v>
      </c>
      <c r="R29" s="29" t="s">
        <v>14</v>
      </c>
      <c r="S29" s="29" t="s">
        <v>9</v>
      </c>
      <c r="T29" s="30" t="str">
        <f t="shared" ref="T29" si="26">IF(AND(R29="Preventivo",S29="Automático"),"50%",IF(AND(R29="Preventivo",S29="Manual"),"40%",IF(AND(R29="Detectivo",S29="Automático"),"40%",IF(AND(R29="Detectivo",S29="Manual"),"30%",IF(AND(R29="Correctivo",S29="Automático"),"35%",IF(AND(R29="Correctivo",S29="Manual"),"25%",""))))))</f>
        <v>40%</v>
      </c>
      <c r="U29" s="29" t="s">
        <v>19</v>
      </c>
      <c r="V29" s="29" t="s">
        <v>22</v>
      </c>
      <c r="W29" s="29" t="s">
        <v>117</v>
      </c>
      <c r="X29" s="139">
        <f>IFERROR(IF(AND(Q28="Probabilidad",Q29="Probabilidad"),(Z28-(+Z28*T29)),IF(Q29="Probabilidad",(I28-(+I28*T29)),IF(Q29="Impacto",Z28,""))),"")</f>
        <v>0.33600000000000002</v>
      </c>
      <c r="Y29" s="31" t="str">
        <f t="shared" ref="Y29" si="27">IFERROR(IF(X29="","",IF(X29&lt;=0.2,"Muy Baja",IF(X29&lt;=0.4,"Baja",IF(X29&lt;=0.6,"Media",IF(X29&lt;=0.8,"Alta","Muy Alta"))))),"")</f>
        <v>Baja</v>
      </c>
      <c r="Z29" s="32">
        <f t="shared" ref="Z29" si="28">+X29</f>
        <v>0.33600000000000002</v>
      </c>
      <c r="AA29" s="31" t="str">
        <f t="shared" ref="AA29" ca="1" si="29">IFERROR(IF(AB29="","",IF(AB29&lt;=0.2,"Leve",IF(AB29&lt;=0.4,"Menor",IF(AB29&lt;=0.6,"Moderado",IF(AB29&lt;=0.8,"Mayor","Catastrófico"))))),"")</f>
        <v>Moderado</v>
      </c>
      <c r="AB29" s="32">
        <f ca="1">IFERROR(IF(AND(Q28="Impacto",Q29="Impacto"),(AB28-(+AB28*T29)),IF(AND(Q28="Probabilidad",Q29="Impacto"),(AB27-(+AB27*T29)),IF(Q29="Probabilidad",AB28,""))),"")</f>
        <v>0.6</v>
      </c>
      <c r="AC29" s="33" t="str">
        <f t="shared" ref="AC29" ca="1" si="30">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Moderado</v>
      </c>
      <c r="AD29" s="34" t="s">
        <v>134</v>
      </c>
      <c r="AE29" s="26" t="s">
        <v>234</v>
      </c>
      <c r="AF29" s="35" t="s">
        <v>237</v>
      </c>
      <c r="AG29" s="141" t="s">
        <v>236</v>
      </c>
      <c r="AH29" s="36"/>
      <c r="AI29" s="35"/>
      <c r="AJ29" s="140"/>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row>
    <row r="30" spans="1:68" ht="23.25" customHeight="1" x14ac:dyDescent="0.3">
      <c r="A30" s="200"/>
      <c r="B30" s="203"/>
      <c r="C30" s="203"/>
      <c r="D30" s="203"/>
      <c r="E30" s="206"/>
      <c r="F30" s="203"/>
      <c r="G30" s="209"/>
      <c r="H30" s="212"/>
      <c r="I30" s="194"/>
      <c r="J30" s="215"/>
      <c r="K30" s="194">
        <f t="shared" ca="1" si="25"/>
        <v>0</v>
      </c>
      <c r="L30" s="212"/>
      <c r="M30" s="194"/>
      <c r="N30" s="197"/>
      <c r="O30" s="5">
        <v>3</v>
      </c>
      <c r="P30" s="27"/>
      <c r="Q30" s="28" t="str">
        <f>IF(OR(R30="Preventivo",R30="Detectivo"),"Probabilidad",IF(R30="Correctivo","Impacto",""))</f>
        <v/>
      </c>
      <c r="R30" s="29"/>
      <c r="S30" s="29"/>
      <c r="T30" s="30" t="str">
        <f t="shared" ref="T29:T33" si="31">IF(AND(R30="Preventivo",S30="Automático"),"50%",IF(AND(R30="Preventivo",S30="Manual"),"40%",IF(AND(R30="Detectivo",S30="Automático"),"40%",IF(AND(R30="Detectivo",S30="Manual"),"30%",IF(AND(R30="Correctivo",S30="Automático"),"35%",IF(AND(R30="Correctivo",S30="Manual"),"25%",""))))))</f>
        <v/>
      </c>
      <c r="U30" s="29"/>
      <c r="V30" s="29"/>
      <c r="W30" s="29"/>
      <c r="X30" s="13"/>
      <c r="Y30" s="31" t="str">
        <f t="shared" si="1"/>
        <v/>
      </c>
      <c r="Z30" s="32"/>
      <c r="AA30" s="31" t="str">
        <f t="shared" si="3"/>
        <v/>
      </c>
      <c r="AB30" s="32" t="str">
        <f>IFERROR(IF(AND(Q29="Impacto",Q30="Impacto"),(AB29-(+AB29*T30)),IF(AND(Q29="Probabilidad",Q30="Impacto"),(AB28-(+AB28*T30)),IF(Q30="Probabilidad",AB29,""))),"")</f>
        <v/>
      </c>
      <c r="AC30" s="33" t="str">
        <f t="shared" ref="AC29:AC30" si="32">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34"/>
      <c r="AE30" s="27"/>
      <c r="AF30" s="35"/>
      <c r="AG30" s="36"/>
      <c r="AH30" s="36"/>
      <c r="AI30" s="35"/>
      <c r="AJ30" s="140"/>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row>
    <row r="31" spans="1:68" ht="23.25" customHeight="1" x14ac:dyDescent="0.3">
      <c r="A31" s="200"/>
      <c r="B31" s="203"/>
      <c r="C31" s="203"/>
      <c r="D31" s="203"/>
      <c r="E31" s="206"/>
      <c r="F31" s="203"/>
      <c r="G31" s="209"/>
      <c r="H31" s="212"/>
      <c r="I31" s="194"/>
      <c r="J31" s="215"/>
      <c r="K31" s="194">
        <f t="shared" ca="1" si="25"/>
        <v>0</v>
      </c>
      <c r="L31" s="212"/>
      <c r="M31" s="194"/>
      <c r="N31" s="197"/>
      <c r="O31" s="5">
        <v>4</v>
      </c>
      <c r="P31" s="26"/>
      <c r="Q31" s="28" t="str">
        <f t="shared" ref="Q31:Q33" si="33">IF(OR(R31="Preventivo",R31="Detectivo"),"Probabilidad",IF(R31="Correctivo","Impacto",""))</f>
        <v/>
      </c>
      <c r="R31" s="29"/>
      <c r="S31" s="29"/>
      <c r="T31" s="30" t="str">
        <f t="shared" si="31"/>
        <v/>
      </c>
      <c r="U31" s="29"/>
      <c r="V31" s="29"/>
      <c r="W31" s="29"/>
      <c r="X31" s="13"/>
      <c r="Y31" s="31" t="str">
        <f t="shared" si="1"/>
        <v/>
      </c>
      <c r="Z31" s="32"/>
      <c r="AA31" s="31" t="str">
        <f t="shared" si="3"/>
        <v/>
      </c>
      <c r="AB31" s="32" t="str">
        <f t="shared" ref="AB31:AB33" si="34">IFERROR(IF(AND(Q30="Impacto",Q31="Impacto"),(AB30-(+AB30*T31)),IF(AND(Q30="Probabilidad",Q31="Impacto"),(AB29-(+AB29*T31)),IF(Q31="Probabilidad",AB30,""))),"")</f>
        <v/>
      </c>
      <c r="AC31" s="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34"/>
      <c r="AE31" s="26"/>
      <c r="AF31" s="35"/>
      <c r="AG31" s="36"/>
      <c r="AH31" s="36"/>
      <c r="AI31" s="35"/>
      <c r="AJ31" s="140"/>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row>
    <row r="32" spans="1:68" ht="23.25" customHeight="1" x14ac:dyDescent="0.3">
      <c r="A32" s="200"/>
      <c r="B32" s="203"/>
      <c r="C32" s="203"/>
      <c r="D32" s="203"/>
      <c r="E32" s="206"/>
      <c r="F32" s="203"/>
      <c r="G32" s="209"/>
      <c r="H32" s="212"/>
      <c r="I32" s="194"/>
      <c r="J32" s="215"/>
      <c r="K32" s="194">
        <f t="shared" ca="1" si="25"/>
        <v>0</v>
      </c>
      <c r="L32" s="212"/>
      <c r="M32" s="194"/>
      <c r="N32" s="197"/>
      <c r="O32" s="5">
        <v>5</v>
      </c>
      <c r="P32" s="26"/>
      <c r="Q32" s="28" t="str">
        <f t="shared" si="33"/>
        <v/>
      </c>
      <c r="R32" s="29"/>
      <c r="S32" s="29"/>
      <c r="T32" s="30" t="str">
        <f t="shared" si="31"/>
        <v/>
      </c>
      <c r="U32" s="29"/>
      <c r="V32" s="29"/>
      <c r="W32" s="29"/>
      <c r="X32" s="13"/>
      <c r="Y32" s="31" t="str">
        <f t="shared" si="1"/>
        <v/>
      </c>
      <c r="Z32" s="32"/>
      <c r="AA32" s="31" t="str">
        <f t="shared" si="3"/>
        <v/>
      </c>
      <c r="AB32" s="32" t="str">
        <f t="shared" si="34"/>
        <v/>
      </c>
      <c r="AC32" s="33" t="str">
        <f t="shared" ref="AC32" si="35">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34"/>
      <c r="AE32" s="26"/>
      <c r="AF32" s="35"/>
      <c r="AG32" s="36"/>
      <c r="AH32" s="36"/>
      <c r="AI32" s="35"/>
      <c r="AJ32" s="140"/>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row>
    <row r="33" spans="1:68" ht="23.25" customHeight="1" x14ac:dyDescent="0.3">
      <c r="A33" s="201"/>
      <c r="B33" s="204"/>
      <c r="C33" s="204"/>
      <c r="D33" s="204"/>
      <c r="E33" s="207"/>
      <c r="F33" s="204"/>
      <c r="G33" s="210"/>
      <c r="H33" s="213"/>
      <c r="I33" s="195"/>
      <c r="J33" s="216"/>
      <c r="K33" s="195">
        <f t="shared" ca="1" si="25"/>
        <v>0</v>
      </c>
      <c r="L33" s="213"/>
      <c r="M33" s="195"/>
      <c r="N33" s="198"/>
      <c r="O33" s="5">
        <v>6</v>
      </c>
      <c r="P33" s="26"/>
      <c r="Q33" s="28" t="str">
        <f t="shared" si="33"/>
        <v/>
      </c>
      <c r="R33" s="29"/>
      <c r="S33" s="29"/>
      <c r="T33" s="30" t="str">
        <f t="shared" si="31"/>
        <v/>
      </c>
      <c r="U33" s="29"/>
      <c r="V33" s="29"/>
      <c r="W33" s="29"/>
      <c r="X33" s="13"/>
      <c r="Y33" s="31" t="str">
        <f t="shared" si="1"/>
        <v/>
      </c>
      <c r="Z33" s="32"/>
      <c r="AA33" s="31" t="str">
        <f>IFERROR(IF(AB33="","",IF(AB33&lt;=0.2,"Leve",IF(AB33&lt;=0.4,"Menor",IF(AB33&lt;=0.6,"Moderado",IF(AB33&lt;=0.8,"Mayor","Catastrófico"))))),"")</f>
        <v/>
      </c>
      <c r="AB33" s="32" t="str">
        <f t="shared" si="34"/>
        <v/>
      </c>
      <c r="AC33" s="3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34"/>
      <c r="AE33" s="35"/>
      <c r="AF33" s="25"/>
      <c r="AG33" s="36"/>
      <c r="AH33" s="36"/>
      <c r="AI33" s="35"/>
      <c r="AJ33" s="25"/>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row>
    <row r="34" spans="1:68" ht="69" customHeight="1" x14ac:dyDescent="0.3">
      <c r="A34" s="199">
        <v>5</v>
      </c>
      <c r="B34" s="202" t="s">
        <v>131</v>
      </c>
      <c r="C34" s="202" t="s">
        <v>220</v>
      </c>
      <c r="D34" s="202" t="s">
        <v>219</v>
      </c>
      <c r="E34" s="205" t="s">
        <v>239</v>
      </c>
      <c r="F34" s="202" t="s">
        <v>121</v>
      </c>
      <c r="G34" s="386">
        <v>905</v>
      </c>
      <c r="H34" s="211" t="str">
        <f>IF(G34&lt;=0,"",IF(G34&lt;=2,"Muy Baja",IF(G34&lt;=24,"Baja",IF(G34&lt;=500,"Media",IF(G34&lt;=5000,"Alta","Muy Alta")))))</f>
        <v>Alta</v>
      </c>
      <c r="I34" s="193">
        <f>IF(H34="","",IF(H34="Muy Baja",0.2,IF(H34="Baja",0.4,IF(H34="Media",0.6,IF(H34="Alta",0.8,IF(H34="Muy Alta",1,))))))</f>
        <v>0.8</v>
      </c>
      <c r="J34" s="214" t="s">
        <v>149</v>
      </c>
      <c r="K34" s="193" t="str">
        <f ca="1">IF(NOT(ISERROR(MATCH(J34,'Tabla Impacto'!$B$221:$B$223,0))),'Tabla Impacto'!$F$223&amp;"Por favor no seleccionar los criterios de impacto(Afectación Económica o presupuestal y Pérdida Reputacional)",J34)</f>
        <v xml:space="preserve">     Entre 100 y 500 SMLMV </v>
      </c>
      <c r="L34" s="211" t="str">
        <f ca="1">IF(OR(K34='Tabla Impacto'!$C$11,K34='Tabla Impacto'!$D$11),"Leve",IF(OR(K34='Tabla Impacto'!$C$12,K34='Tabla Impacto'!$D$12),"Menor",IF(OR(K34='Tabla Impacto'!$C$13,K34='Tabla Impacto'!$D$13),"Moderado",IF(OR(K34='Tabla Impacto'!$C$14,K34='Tabla Impacto'!$D$14),"Mayor",IF(OR(K34='Tabla Impacto'!$C$15,K34='Tabla Impacto'!$D$15),"Catastrófico","")))))</f>
        <v>Mayor</v>
      </c>
      <c r="M34" s="193">
        <f ca="1">IF(L34="","",IF(L34="Leve",0.2,IF(L34="Menor",0.4,IF(L34="Moderado",0.6,IF(L34="Mayor",0.8,IF(L34="Catastrófico",1,))))))</f>
        <v>0.8</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5">
        <v>1</v>
      </c>
      <c r="P34" s="26" t="s">
        <v>240</v>
      </c>
      <c r="Q34" s="28" t="str">
        <f>IF(OR(R34="Preventivo",R34="Detectivo"),"Probabilidad",IF(R34="Correctivo","Impacto",""))</f>
        <v>Probabilidad</v>
      </c>
      <c r="R34" s="29" t="s">
        <v>14</v>
      </c>
      <c r="S34" s="29" t="s">
        <v>9</v>
      </c>
      <c r="T34" s="30" t="str">
        <f>IF(AND(R34="Preventivo",S34="Automático"),"50%",IF(AND(R34="Preventivo",S34="Manual"),"40%",IF(AND(R34="Detectivo",S34="Automático"),"40%",IF(AND(R34="Detectivo",S34="Manual"),"30%",IF(AND(R34="Correctivo",S34="Automático"),"35%",IF(AND(R34="Correctivo",S34="Manual"),"25%",""))))))</f>
        <v>40%</v>
      </c>
      <c r="U34" s="29" t="s">
        <v>19</v>
      </c>
      <c r="V34" s="29" t="s">
        <v>22</v>
      </c>
      <c r="W34" s="29" t="s">
        <v>117</v>
      </c>
      <c r="X34" s="13">
        <f>IFERROR(IF(Q34="Probabilidad",(I34-(+I34*T34)),IF(Q34="Impacto",I34,"")),"")</f>
        <v>0.48</v>
      </c>
      <c r="Y34" s="31" t="str">
        <f>IFERROR(IF(X34="","",IF(X34&lt;=0.2,"Muy Baja",IF(X34&lt;=0.4,"Baja",IF(X34&lt;=0.6,"Media",IF(X34&lt;=0.8,"Alta","Muy Alta"))))),"")</f>
        <v>Media</v>
      </c>
      <c r="Z34" s="32"/>
      <c r="AA34" s="31" t="str">
        <f ca="1">IFERROR(IF(AB34="","",IF(AB34&lt;=0.2,"Leve",IF(AB34&lt;=0.4,"Menor",IF(AB34&lt;=0.6,"Moderado",IF(AB34&lt;=0.8,"Mayor","Catastrófico"))))),"")</f>
        <v>Mayor</v>
      </c>
      <c r="AB34" s="32">
        <f ca="1">IFERROR(IF(Q34="Impacto",(M34-(+M34*T34)),IF(Q34="Probabilidad",M34,"")),"")</f>
        <v>0.8</v>
      </c>
      <c r="AC34" s="33"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Alto</v>
      </c>
      <c r="AD34" s="34" t="s">
        <v>31</v>
      </c>
      <c r="AE34" s="35"/>
      <c r="AF34" s="25"/>
      <c r="AG34" s="36"/>
      <c r="AH34" s="36"/>
      <c r="AI34" s="35"/>
      <c r="AJ34" s="25"/>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row>
    <row r="35" spans="1:68" ht="72" customHeight="1" x14ac:dyDescent="0.3">
      <c r="A35" s="200"/>
      <c r="B35" s="203"/>
      <c r="C35" s="203"/>
      <c r="D35" s="203"/>
      <c r="E35" s="206"/>
      <c r="F35" s="203"/>
      <c r="G35" s="387"/>
      <c r="H35" s="212"/>
      <c r="I35" s="194"/>
      <c r="J35" s="215"/>
      <c r="K35" s="194">
        <f t="shared" ref="K35:K39" ca="1" si="36">IF(NOT(ISERROR(MATCH(J35,_xlfn.ANCHORARRAY(E46),0))),I48&amp;"Por favor no seleccionar los criterios de impacto",J35)</f>
        <v>0</v>
      </c>
      <c r="L35" s="212"/>
      <c r="M35" s="194"/>
      <c r="N35" s="197"/>
      <c r="O35" s="5">
        <v>2</v>
      </c>
      <c r="P35" s="26" t="s">
        <v>241</v>
      </c>
      <c r="Q35" s="28" t="str">
        <f>IF(OR(R35="Preventivo",R35="Detectivo"),"Probabilidad",IF(R35="Correctivo","Impacto",""))</f>
        <v>Probabilidad</v>
      </c>
      <c r="R35" s="29" t="s">
        <v>15</v>
      </c>
      <c r="S35" s="29" t="s">
        <v>9</v>
      </c>
      <c r="T35" s="30" t="str">
        <f t="shared" ref="T35:T39" si="37">IF(AND(R35="Preventivo",S35="Automático"),"50%",IF(AND(R35="Preventivo",S35="Manual"),"40%",IF(AND(R35="Detectivo",S35="Automático"),"40%",IF(AND(R35="Detectivo",S35="Manual"),"30%",IF(AND(R35="Correctivo",S35="Automático"),"35%",IF(AND(R35="Correctivo",S35="Manual"),"25%",""))))))</f>
        <v>30%</v>
      </c>
      <c r="U35" s="29" t="s">
        <v>19</v>
      </c>
      <c r="V35" s="29" t="s">
        <v>22</v>
      </c>
      <c r="W35" s="29" t="s">
        <v>117</v>
      </c>
      <c r="X35" s="13">
        <f>IFERROR(IF(AND(Q34="Probabilidad",Q35="Probabilidad"),(Z34-(+Z34*T35)),IF(Q35="Probabilidad",(I34-(+I34*T35)),IF(Q35="Impacto",Z34,""))),"")</f>
        <v>0</v>
      </c>
      <c r="Y35" s="31" t="str">
        <f t="shared" si="1"/>
        <v>Muy Baja</v>
      </c>
      <c r="Z35" s="32">
        <f t="shared" ref="Z35:Z39" si="38">+X35</f>
        <v>0</v>
      </c>
      <c r="AA35" s="31" t="str">
        <f t="shared" ca="1" si="3"/>
        <v>Moderado</v>
      </c>
      <c r="AB35" s="32">
        <f ca="1">IFERROR(IF(AND(Q34="Impacto",Q35="Impacto"),(AB28-(+AB28*T35)),IF(Q35="Impacto",($M$34-(+$M$34*T35)),IF(Q35="Probabilidad",AB28,""))),"")</f>
        <v>0.6</v>
      </c>
      <c r="AC35" s="33" t="str">
        <f t="shared" ref="AC35:AC36" ca="1" si="39">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Moderado</v>
      </c>
      <c r="AD35" s="34" t="s">
        <v>31</v>
      </c>
      <c r="AE35" s="35"/>
      <c r="AF35" s="25"/>
      <c r="AG35" s="36"/>
      <c r="AH35" s="36"/>
      <c r="AI35" s="35"/>
      <c r="AJ35" s="25"/>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row>
    <row r="36" spans="1:68" ht="23.25" customHeight="1" x14ac:dyDescent="0.3">
      <c r="A36" s="200"/>
      <c r="B36" s="203"/>
      <c r="C36" s="203"/>
      <c r="D36" s="203"/>
      <c r="E36" s="206"/>
      <c r="F36" s="203"/>
      <c r="G36" s="387"/>
      <c r="H36" s="212"/>
      <c r="I36" s="194"/>
      <c r="J36" s="215"/>
      <c r="K36" s="194">
        <f t="shared" ca="1" si="36"/>
        <v>0</v>
      </c>
      <c r="L36" s="212"/>
      <c r="M36" s="194"/>
      <c r="N36" s="197"/>
      <c r="O36" s="5">
        <v>3</v>
      </c>
      <c r="P36" s="27"/>
      <c r="Q36" s="28" t="str">
        <f>IF(OR(R36="Preventivo",R36="Detectivo"),"Probabilidad",IF(R36="Correctivo","Impacto",""))</f>
        <v/>
      </c>
      <c r="R36" s="29"/>
      <c r="S36" s="29"/>
      <c r="T36" s="30" t="str">
        <f t="shared" si="37"/>
        <v/>
      </c>
      <c r="U36" s="29"/>
      <c r="V36" s="29"/>
      <c r="W36" s="29"/>
      <c r="X36" s="13" t="str">
        <f>IFERROR(IF(AND(Q35="Probabilidad",Q36="Probabilidad"),(Z35-(+Z35*T36)),IF(AND(Q35="Impacto",Q36="Probabilidad"),(Z34-(+Z34*T36)),IF(Q36="Impacto",Z35,""))),"")</f>
        <v/>
      </c>
      <c r="Y36" s="31" t="str">
        <f t="shared" si="1"/>
        <v/>
      </c>
      <c r="Z36" s="32" t="str">
        <f t="shared" si="38"/>
        <v/>
      </c>
      <c r="AA36" s="31" t="str">
        <f t="shared" si="3"/>
        <v/>
      </c>
      <c r="AB36" s="32" t="str">
        <f>IFERROR(IF(AND(Q35="Impacto",Q36="Impacto"),(AB35-(+AB35*T36)),IF(AND(Q35="Probabilidad",Q36="Impacto"),(AB34-(+AB34*T36)),IF(Q36="Probabilidad",AB35,""))),"")</f>
        <v/>
      </c>
      <c r="AC36" s="33" t="str">
        <f t="shared" si="39"/>
        <v/>
      </c>
      <c r="AD36" s="34"/>
      <c r="AE36" s="35"/>
      <c r="AF36" s="25"/>
      <c r="AG36" s="36"/>
      <c r="AH36" s="36"/>
      <c r="AI36" s="35"/>
      <c r="AJ36" s="25"/>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row>
    <row r="37" spans="1:68" ht="23.25" customHeight="1" x14ac:dyDescent="0.3">
      <c r="A37" s="200"/>
      <c r="B37" s="203"/>
      <c r="C37" s="203"/>
      <c r="D37" s="203"/>
      <c r="E37" s="206"/>
      <c r="F37" s="203"/>
      <c r="G37" s="387"/>
      <c r="H37" s="212"/>
      <c r="I37" s="194"/>
      <c r="J37" s="215"/>
      <c r="K37" s="194">
        <f t="shared" ca="1" si="36"/>
        <v>0</v>
      </c>
      <c r="L37" s="212"/>
      <c r="M37" s="194"/>
      <c r="N37" s="197"/>
      <c r="O37" s="5">
        <v>4</v>
      </c>
      <c r="P37" s="26"/>
      <c r="Q37" s="28" t="str">
        <f t="shared" ref="Q37:Q39" si="40">IF(OR(R37="Preventivo",R37="Detectivo"),"Probabilidad",IF(R37="Correctivo","Impacto",""))</f>
        <v/>
      </c>
      <c r="R37" s="29"/>
      <c r="S37" s="29"/>
      <c r="T37" s="30" t="str">
        <f t="shared" si="37"/>
        <v/>
      </c>
      <c r="U37" s="29"/>
      <c r="V37" s="29"/>
      <c r="W37" s="29"/>
      <c r="X37" s="13" t="str">
        <f t="shared" ref="X37:X39" si="41">IFERROR(IF(AND(Q36="Probabilidad",Q37="Probabilidad"),(Z36-(+Z36*T37)),IF(AND(Q36="Impacto",Q37="Probabilidad"),(Z35-(+Z35*T37)),IF(Q37="Impacto",Z36,""))),"")</f>
        <v/>
      </c>
      <c r="Y37" s="31" t="str">
        <f t="shared" si="1"/>
        <v/>
      </c>
      <c r="Z37" s="32" t="str">
        <f t="shared" si="38"/>
        <v/>
      </c>
      <c r="AA37" s="31" t="str">
        <f t="shared" si="3"/>
        <v/>
      </c>
      <c r="AB37" s="32" t="str">
        <f t="shared" ref="AB37:AB39" si="42">IFERROR(IF(AND(Q36="Impacto",Q37="Impacto"),(AB36-(+AB36*T37)),IF(AND(Q36="Probabilidad",Q37="Impacto"),(AB35-(+AB35*T37)),IF(Q37="Probabilidad",AB36,""))),"")</f>
        <v/>
      </c>
      <c r="AC37" s="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34"/>
      <c r="AE37" s="35"/>
      <c r="AF37" s="25"/>
      <c r="AG37" s="36"/>
      <c r="AH37" s="36"/>
      <c r="AI37" s="35"/>
      <c r="AJ37" s="25"/>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row>
    <row r="38" spans="1:68" ht="23.25" customHeight="1" x14ac:dyDescent="0.3">
      <c r="A38" s="200"/>
      <c r="B38" s="203"/>
      <c r="C38" s="203"/>
      <c r="D38" s="203"/>
      <c r="E38" s="206"/>
      <c r="F38" s="203"/>
      <c r="G38" s="387"/>
      <c r="H38" s="212"/>
      <c r="I38" s="194"/>
      <c r="J38" s="215"/>
      <c r="K38" s="194">
        <f t="shared" ca="1" si="36"/>
        <v>0</v>
      </c>
      <c r="L38" s="212"/>
      <c r="M38" s="194"/>
      <c r="N38" s="197"/>
      <c r="O38" s="5">
        <v>5</v>
      </c>
      <c r="P38" s="26"/>
      <c r="Q38" s="28" t="str">
        <f t="shared" si="40"/>
        <v/>
      </c>
      <c r="R38" s="29"/>
      <c r="S38" s="29"/>
      <c r="T38" s="30" t="str">
        <f t="shared" si="37"/>
        <v/>
      </c>
      <c r="U38" s="29"/>
      <c r="V38" s="29"/>
      <c r="W38" s="29"/>
      <c r="X38" s="13" t="str">
        <f t="shared" si="41"/>
        <v/>
      </c>
      <c r="Y38" s="31" t="str">
        <f t="shared" si="1"/>
        <v/>
      </c>
      <c r="Z38" s="32" t="str">
        <f t="shared" si="38"/>
        <v/>
      </c>
      <c r="AA38" s="31" t="str">
        <f t="shared" si="3"/>
        <v/>
      </c>
      <c r="AB38" s="32" t="str">
        <f t="shared" si="42"/>
        <v/>
      </c>
      <c r="AC38" s="33" t="str">
        <f t="shared" ref="AC38:AC39" si="43">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34"/>
      <c r="AE38" s="35"/>
      <c r="AF38" s="25"/>
      <c r="AG38" s="36"/>
      <c r="AH38" s="36"/>
      <c r="AI38" s="35"/>
      <c r="AJ38" s="25"/>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row>
    <row r="39" spans="1:68" ht="23.25" customHeight="1" x14ac:dyDescent="0.3">
      <c r="A39" s="201"/>
      <c r="B39" s="204"/>
      <c r="C39" s="204"/>
      <c r="D39" s="204"/>
      <c r="E39" s="207"/>
      <c r="F39" s="204"/>
      <c r="G39" s="388"/>
      <c r="H39" s="213"/>
      <c r="I39" s="195"/>
      <c r="J39" s="216"/>
      <c r="K39" s="195">
        <f t="shared" ca="1" si="36"/>
        <v>0</v>
      </c>
      <c r="L39" s="213"/>
      <c r="M39" s="195"/>
      <c r="N39" s="198"/>
      <c r="O39" s="5">
        <v>6</v>
      </c>
      <c r="P39" s="26"/>
      <c r="Q39" s="28" t="str">
        <f t="shared" si="40"/>
        <v/>
      </c>
      <c r="R39" s="29"/>
      <c r="S39" s="29"/>
      <c r="T39" s="30" t="str">
        <f t="shared" si="37"/>
        <v/>
      </c>
      <c r="U39" s="29"/>
      <c r="V39" s="29"/>
      <c r="W39" s="29"/>
      <c r="X39" s="13" t="str">
        <f t="shared" si="41"/>
        <v/>
      </c>
      <c r="Y39" s="31" t="str">
        <f t="shared" si="1"/>
        <v/>
      </c>
      <c r="Z39" s="32" t="str">
        <f t="shared" si="38"/>
        <v/>
      </c>
      <c r="AA39" s="31" t="str">
        <f t="shared" si="3"/>
        <v/>
      </c>
      <c r="AB39" s="32" t="str">
        <f t="shared" si="42"/>
        <v/>
      </c>
      <c r="AC39" s="33" t="str">
        <f t="shared" si="43"/>
        <v/>
      </c>
      <c r="AD39" s="34"/>
      <c r="AE39" s="35"/>
      <c r="AF39" s="25"/>
      <c r="AG39" s="36"/>
      <c r="AH39" s="36"/>
      <c r="AI39" s="35"/>
      <c r="AJ39" s="25"/>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row>
    <row r="40" spans="1:68" ht="72" customHeight="1" x14ac:dyDescent="0.3">
      <c r="A40" s="199">
        <v>6</v>
      </c>
      <c r="B40" s="202" t="s">
        <v>131</v>
      </c>
      <c r="C40" s="202" t="s">
        <v>244</v>
      </c>
      <c r="D40" s="202" t="s">
        <v>243</v>
      </c>
      <c r="E40" s="205" t="s">
        <v>245</v>
      </c>
      <c r="F40" s="202" t="s">
        <v>121</v>
      </c>
      <c r="G40" s="208">
        <v>50</v>
      </c>
      <c r="H40" s="211" t="str">
        <f>IF(G40&lt;=0,"",IF(G40&lt;=2,"Muy Baja",IF(G40&lt;=24,"Baja",IF(G40&lt;=500,"Media",IF(G40&lt;=5000,"Alta","Muy Alta")))))</f>
        <v>Media</v>
      </c>
      <c r="I40" s="193">
        <f>IF(H40="","",IF(H40="Muy Baja",0.2,IF(H40="Baja",0.4,IF(H40="Media",0.6,IF(H40="Alta",0.8,IF(H40="Muy Alta",1,))))))</f>
        <v>0.6</v>
      </c>
      <c r="J40" s="214" t="s">
        <v>149</v>
      </c>
      <c r="K40" s="193" t="str">
        <f ca="1">IF(NOT(ISERROR(MATCH(J40,'Tabla Impacto'!$B$221:$B$223,0))),'Tabla Impacto'!$F$223&amp;"Por favor no seleccionar los criterios de impacto(Afectación Económica o presupuestal y Pérdida Reputacional)",J40)</f>
        <v xml:space="preserve">     Entre 100 y 500 SMLMV </v>
      </c>
      <c r="L40" s="211" t="str">
        <f ca="1">IF(OR(K40='Tabla Impacto'!$C$11,K40='Tabla Impacto'!$D$11),"Leve",IF(OR(K40='Tabla Impacto'!$C$12,K40='Tabla Impacto'!$D$12),"Menor",IF(OR(K40='Tabla Impacto'!$C$13,K40='Tabla Impacto'!$D$13),"Moderado",IF(OR(K40='Tabla Impacto'!$C$14,K40='Tabla Impacto'!$D$14),"Mayor",IF(OR(K40='Tabla Impacto'!$C$15,K40='Tabla Impacto'!$D$15),"Catastrófico","")))))</f>
        <v>Mayor</v>
      </c>
      <c r="M40" s="193">
        <f ca="1">IF(L40="","",IF(L40="Leve",0.2,IF(L40="Menor",0.4,IF(L40="Moderado",0.6,IF(L40="Mayor",0.8,IF(L40="Catastrófico",1,))))))</f>
        <v>0.8</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Alto</v>
      </c>
      <c r="O40" s="5">
        <v>1</v>
      </c>
      <c r="P40" s="26" t="s">
        <v>246</v>
      </c>
      <c r="Q40" s="28" t="str">
        <f>IF(OR(R40="Preventivo",R40="Detectivo"),"Probabilidad",IF(R40="Correctivo","Impacto",""))</f>
        <v>Probabilidad</v>
      </c>
      <c r="R40" s="29" t="s">
        <v>14</v>
      </c>
      <c r="S40" s="29" t="s">
        <v>9</v>
      </c>
      <c r="T40" s="30" t="str">
        <f>IF(AND(R40="Preventivo",S40="Automático"),"50%",IF(AND(R40="Preventivo",S40="Manual"),"40%",IF(AND(R40="Detectivo",S40="Automático"),"40%",IF(AND(R40="Detectivo",S40="Manual"),"30%",IF(AND(R40="Correctivo",S40="Automático"),"35%",IF(AND(R40="Correctivo",S40="Manual"),"25%",""))))))</f>
        <v>40%</v>
      </c>
      <c r="U40" s="29" t="s">
        <v>19</v>
      </c>
      <c r="V40" s="29" t="s">
        <v>22</v>
      </c>
      <c r="W40" s="29" t="s">
        <v>117</v>
      </c>
      <c r="X40" s="13">
        <f>IFERROR(IF(Q40="Probabilidad",(I40-(+I40*T40)),IF(Q40="Impacto",I40,"")),"")</f>
        <v>0.36</v>
      </c>
      <c r="Y40" s="31" t="str">
        <f>IFERROR(IF(X40="","",IF(X40&lt;=0.2,"Muy Baja",IF(X40&lt;=0.4,"Baja",IF(X40&lt;=0.6,"Media",IF(X40&lt;=0.8,"Alta","Muy Alta"))))),"")</f>
        <v>Baja</v>
      </c>
      <c r="Z40" s="32">
        <f>+X40</f>
        <v>0.36</v>
      </c>
      <c r="AA40" s="31" t="str">
        <f ca="1">IFERROR(IF(AB40="","",IF(AB40&lt;=0.2,"Leve",IF(AB40&lt;=0.4,"Menor",IF(AB40&lt;=0.6,"Moderado",IF(AB40&lt;=0.8,"Mayor","Catastrófico"))))),"")</f>
        <v>Mayor</v>
      </c>
      <c r="AB40" s="32">
        <f ca="1">IFERROR(IF(Q40="Impacto",(M40-(+M40*T40)),IF(Q40="Probabilidad",M40,"")),"")</f>
        <v>0.8</v>
      </c>
      <c r="AC40" s="33"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Alto</v>
      </c>
      <c r="AD40" s="34" t="s">
        <v>31</v>
      </c>
      <c r="AE40" s="35"/>
      <c r="AF40" s="25"/>
      <c r="AG40" s="36"/>
      <c r="AH40" s="36"/>
      <c r="AI40" s="35"/>
      <c r="AJ40" s="25"/>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row>
    <row r="41" spans="1:68" ht="23.25" customHeight="1" x14ac:dyDescent="0.3">
      <c r="A41" s="200"/>
      <c r="B41" s="203"/>
      <c r="C41" s="203"/>
      <c r="D41" s="203"/>
      <c r="E41" s="206"/>
      <c r="F41" s="203"/>
      <c r="G41" s="209"/>
      <c r="H41" s="212"/>
      <c r="I41" s="194"/>
      <c r="J41" s="215"/>
      <c r="K41" s="194">
        <f ca="1">IF(NOT(ISERROR(MATCH(J41,_xlfn.ANCHORARRAY(E52),0))),I54&amp;"Por favor no seleccionar los criterios de impacto",J41)</f>
        <v>0</v>
      </c>
      <c r="L41" s="212"/>
      <c r="M41" s="194"/>
      <c r="N41" s="197"/>
      <c r="O41" s="5">
        <v>2</v>
      </c>
      <c r="P41" s="26"/>
      <c r="Q41" s="28" t="str">
        <f>IF(OR(R41="Preventivo",R41="Detectivo"),"Probabilidad",IF(R41="Correctivo","Impacto",""))</f>
        <v/>
      </c>
      <c r="R41" s="29"/>
      <c r="S41" s="29"/>
      <c r="T41" s="30" t="str">
        <f t="shared" ref="T41:T45" si="44">IF(AND(R41="Preventivo",S41="Automático"),"50%",IF(AND(R41="Preventivo",S41="Manual"),"40%",IF(AND(R41="Detectivo",S41="Automático"),"40%",IF(AND(R41="Detectivo",S41="Manual"),"30%",IF(AND(R41="Correctivo",S41="Automático"),"35%",IF(AND(R41="Correctivo",S41="Manual"),"25%",""))))))</f>
        <v/>
      </c>
      <c r="U41" s="29"/>
      <c r="V41" s="29"/>
      <c r="W41" s="29"/>
      <c r="X41" s="13" t="str">
        <f>IFERROR(IF(AND(Q40="Probabilidad",Q41="Probabilidad"),(Z40-(+Z40*T41)),IF(Q41="Probabilidad",(I40-(+I40*T41)),IF(Q41="Impacto",Z40,""))),"")</f>
        <v/>
      </c>
      <c r="Y41" s="31" t="str">
        <f t="shared" si="1"/>
        <v/>
      </c>
      <c r="Z41" s="32" t="str">
        <f t="shared" ref="Z41:Z45" si="45">+X41</f>
        <v/>
      </c>
      <c r="AA41" s="31" t="str">
        <f t="shared" si="3"/>
        <v/>
      </c>
      <c r="AB41" s="32" t="str">
        <f>IFERROR(IF(AND(Q40="Impacto",Q41="Impacto"),(AB34-(+AB34*T41)),IF(Q41="Impacto",($M$40-(+$M$40*T41)),IF(Q41="Probabilidad",AB34,""))),"")</f>
        <v/>
      </c>
      <c r="AC41" s="33" t="str">
        <f t="shared" ref="AC41:AC42" si="46">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34"/>
      <c r="AE41" s="35"/>
      <c r="AF41" s="25"/>
      <c r="AG41" s="36"/>
      <c r="AH41" s="36"/>
      <c r="AI41" s="35"/>
      <c r="AJ41" s="25"/>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row>
    <row r="42" spans="1:68" ht="23.25" customHeight="1" x14ac:dyDescent="0.3">
      <c r="A42" s="200"/>
      <c r="B42" s="203"/>
      <c r="C42" s="203"/>
      <c r="D42" s="203"/>
      <c r="E42" s="206"/>
      <c r="F42" s="203"/>
      <c r="G42" s="209"/>
      <c r="H42" s="212"/>
      <c r="I42" s="194"/>
      <c r="J42" s="215"/>
      <c r="K42" s="194">
        <f ca="1">IF(NOT(ISERROR(MATCH(J42,_xlfn.ANCHORARRAY(E53),0))),I55&amp;"Por favor no seleccionar los criterios de impacto",J42)</f>
        <v>0</v>
      </c>
      <c r="L42" s="212"/>
      <c r="M42" s="194"/>
      <c r="N42" s="197"/>
      <c r="O42" s="5">
        <v>3</v>
      </c>
      <c r="P42" s="27"/>
      <c r="Q42" s="28" t="str">
        <f>IF(OR(R42="Preventivo",R42="Detectivo"),"Probabilidad",IF(R42="Correctivo","Impacto",""))</f>
        <v/>
      </c>
      <c r="R42" s="29"/>
      <c r="S42" s="29"/>
      <c r="T42" s="30" t="str">
        <f t="shared" si="44"/>
        <v/>
      </c>
      <c r="U42" s="29"/>
      <c r="V42" s="29"/>
      <c r="W42" s="29"/>
      <c r="X42" s="13" t="str">
        <f>IFERROR(IF(AND(Q41="Probabilidad",Q42="Probabilidad"),(Z41-(+Z41*T42)),IF(AND(Q41="Impacto",Q42="Probabilidad"),(Z40-(+Z40*T42)),IF(Q42="Impacto",Z41,""))),"")</f>
        <v/>
      </c>
      <c r="Y42" s="31" t="str">
        <f t="shared" si="1"/>
        <v/>
      </c>
      <c r="Z42" s="32" t="str">
        <f t="shared" si="45"/>
        <v/>
      </c>
      <c r="AA42" s="31" t="str">
        <f t="shared" si="3"/>
        <v/>
      </c>
      <c r="AB42" s="32" t="str">
        <f>IFERROR(IF(AND(Q41="Impacto",Q42="Impacto"),(AB41-(+AB41*T42)),IF(AND(Q41="Probabilidad",Q42="Impacto"),(AB40-(+AB40*T42)),IF(Q42="Probabilidad",AB41,""))),"")</f>
        <v/>
      </c>
      <c r="AC42" s="33" t="str">
        <f t="shared" si="46"/>
        <v/>
      </c>
      <c r="AD42" s="34"/>
      <c r="AE42" s="35"/>
      <c r="AF42" s="25"/>
      <c r="AG42" s="36"/>
      <c r="AH42" s="36"/>
      <c r="AI42" s="35"/>
      <c r="AJ42" s="25"/>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row>
    <row r="43" spans="1:68" ht="23.25" customHeight="1" x14ac:dyDescent="0.3">
      <c r="A43" s="200"/>
      <c r="B43" s="203"/>
      <c r="C43" s="203"/>
      <c r="D43" s="203"/>
      <c r="E43" s="206"/>
      <c r="F43" s="203"/>
      <c r="G43" s="209"/>
      <c r="H43" s="212"/>
      <c r="I43" s="194"/>
      <c r="J43" s="215"/>
      <c r="K43" s="194">
        <f ca="1">IF(NOT(ISERROR(MATCH(J43,_xlfn.ANCHORARRAY(E54),0))),I56&amp;"Por favor no seleccionar los criterios de impacto",J43)</f>
        <v>0</v>
      </c>
      <c r="L43" s="212"/>
      <c r="M43" s="194"/>
      <c r="N43" s="197"/>
      <c r="O43" s="5">
        <v>4</v>
      </c>
      <c r="P43" s="26"/>
      <c r="Q43" s="28" t="str">
        <f t="shared" ref="Q43:Q45" si="47">IF(OR(R43="Preventivo",R43="Detectivo"),"Probabilidad",IF(R43="Correctivo","Impacto",""))</f>
        <v/>
      </c>
      <c r="R43" s="29"/>
      <c r="S43" s="29"/>
      <c r="T43" s="30" t="str">
        <f t="shared" si="44"/>
        <v/>
      </c>
      <c r="U43" s="29"/>
      <c r="V43" s="29"/>
      <c r="W43" s="29"/>
      <c r="X43" s="13" t="str">
        <f t="shared" ref="X43:X45" si="48">IFERROR(IF(AND(Q42="Probabilidad",Q43="Probabilidad"),(Z42-(+Z42*T43)),IF(AND(Q42="Impacto",Q43="Probabilidad"),(Z41-(+Z41*T43)),IF(Q43="Impacto",Z42,""))),"")</f>
        <v/>
      </c>
      <c r="Y43" s="31" t="str">
        <f t="shared" si="1"/>
        <v/>
      </c>
      <c r="Z43" s="32" t="str">
        <f t="shared" si="45"/>
        <v/>
      </c>
      <c r="AA43" s="31" t="str">
        <f t="shared" si="3"/>
        <v/>
      </c>
      <c r="AB43" s="32" t="str">
        <f t="shared" ref="AB43:AB45" si="49">IFERROR(IF(AND(Q42="Impacto",Q43="Impacto"),(AB42-(+AB42*T43)),IF(AND(Q42="Probabilidad",Q43="Impacto"),(AB41-(+AB41*T43)),IF(Q43="Probabilidad",AB42,""))),"")</f>
        <v/>
      </c>
      <c r="AC43" s="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34"/>
      <c r="AE43" s="35"/>
      <c r="AF43" s="25"/>
      <c r="AG43" s="36"/>
      <c r="AH43" s="36"/>
      <c r="AI43" s="35"/>
      <c r="AJ43" s="25"/>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row>
    <row r="44" spans="1:68" ht="23.25" customHeight="1" x14ac:dyDescent="0.3">
      <c r="A44" s="200"/>
      <c r="B44" s="203"/>
      <c r="C44" s="203"/>
      <c r="D44" s="203"/>
      <c r="E44" s="206"/>
      <c r="F44" s="203"/>
      <c r="G44" s="209"/>
      <c r="H44" s="212"/>
      <c r="I44" s="194"/>
      <c r="J44" s="215"/>
      <c r="K44" s="194">
        <f ca="1">IF(NOT(ISERROR(MATCH(J44,_xlfn.ANCHORARRAY(E55),0))),I57&amp;"Por favor no seleccionar los criterios de impacto",J44)</f>
        <v>0</v>
      </c>
      <c r="L44" s="212"/>
      <c r="M44" s="194"/>
      <c r="N44" s="197"/>
      <c r="O44" s="5">
        <v>5</v>
      </c>
      <c r="P44" s="26"/>
      <c r="Q44" s="28" t="str">
        <f t="shared" si="47"/>
        <v/>
      </c>
      <c r="R44" s="29"/>
      <c r="S44" s="29"/>
      <c r="T44" s="30" t="str">
        <f t="shared" si="44"/>
        <v/>
      </c>
      <c r="U44" s="29"/>
      <c r="V44" s="29"/>
      <c r="W44" s="29"/>
      <c r="X44" s="13" t="str">
        <f t="shared" si="48"/>
        <v/>
      </c>
      <c r="Y44" s="31" t="str">
        <f t="shared" si="1"/>
        <v/>
      </c>
      <c r="Z44" s="32" t="str">
        <f t="shared" si="45"/>
        <v/>
      </c>
      <c r="AA44" s="31" t="str">
        <f t="shared" si="3"/>
        <v/>
      </c>
      <c r="AB44" s="32" t="str">
        <f t="shared" si="49"/>
        <v/>
      </c>
      <c r="AC44" s="33" t="str">
        <f t="shared" ref="AC44:AC45" si="50">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34"/>
      <c r="AE44" s="35"/>
      <c r="AF44" s="25"/>
      <c r="AG44" s="36"/>
      <c r="AH44" s="36"/>
      <c r="AI44" s="35"/>
      <c r="AJ44" s="25"/>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row>
    <row r="45" spans="1:68" ht="23.25" customHeight="1" x14ac:dyDescent="0.3">
      <c r="A45" s="201"/>
      <c r="B45" s="204"/>
      <c r="C45" s="204"/>
      <c r="D45" s="204"/>
      <c r="E45" s="207"/>
      <c r="F45" s="204"/>
      <c r="G45" s="210"/>
      <c r="H45" s="213"/>
      <c r="I45" s="195"/>
      <c r="J45" s="216"/>
      <c r="K45" s="195">
        <f ca="1">IF(NOT(ISERROR(MATCH(J45,_xlfn.ANCHORARRAY(E56),0))),I58&amp;"Por favor no seleccionar los criterios de impacto",J45)</f>
        <v>0</v>
      </c>
      <c r="L45" s="213"/>
      <c r="M45" s="195"/>
      <c r="N45" s="198"/>
      <c r="O45" s="5">
        <v>6</v>
      </c>
      <c r="P45" s="26"/>
      <c r="Q45" s="28" t="str">
        <f t="shared" si="47"/>
        <v/>
      </c>
      <c r="R45" s="29"/>
      <c r="S45" s="29"/>
      <c r="T45" s="30" t="str">
        <f t="shared" si="44"/>
        <v/>
      </c>
      <c r="U45" s="29"/>
      <c r="V45" s="29"/>
      <c r="W45" s="29"/>
      <c r="X45" s="13" t="str">
        <f t="shared" si="48"/>
        <v/>
      </c>
      <c r="Y45" s="31" t="str">
        <f t="shared" si="1"/>
        <v/>
      </c>
      <c r="Z45" s="32" t="str">
        <f t="shared" si="45"/>
        <v/>
      </c>
      <c r="AA45" s="31" t="str">
        <f t="shared" si="3"/>
        <v/>
      </c>
      <c r="AB45" s="32" t="str">
        <f t="shared" si="49"/>
        <v/>
      </c>
      <c r="AC45" s="33" t="str">
        <f t="shared" si="50"/>
        <v/>
      </c>
      <c r="AD45" s="34"/>
      <c r="AE45" s="35"/>
      <c r="AF45" s="25"/>
      <c r="AG45" s="36"/>
      <c r="AH45" s="36"/>
      <c r="AI45" s="35"/>
      <c r="AJ45" s="25"/>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row>
    <row r="46" spans="1:68" ht="53.25" customHeight="1" x14ac:dyDescent="0.3">
      <c r="A46" s="199">
        <v>7</v>
      </c>
      <c r="B46" s="202" t="s">
        <v>131</v>
      </c>
      <c r="C46" s="202" t="s">
        <v>242</v>
      </c>
      <c r="D46" s="202" t="s">
        <v>247</v>
      </c>
      <c r="E46" s="205" t="s">
        <v>248</v>
      </c>
      <c r="F46" s="202" t="s">
        <v>121</v>
      </c>
      <c r="G46" s="208">
        <v>54</v>
      </c>
      <c r="H46" s="211" t="str">
        <f>IF(G46&lt;=0,"",IF(G46&lt;=2,"Muy Baja",IF(G46&lt;=24,"Baja",IF(G46&lt;=500,"Media",IF(G46&lt;=5000,"Alta","Muy Alta")))))</f>
        <v>Media</v>
      </c>
      <c r="I46" s="193">
        <f>IF(H46="","",IF(H46="Muy Baja",0.2,IF(H46="Baja",0.4,IF(H46="Media",0.6,IF(H46="Alta",0.8,IF(H46="Muy Alta",1,))))))</f>
        <v>0.6</v>
      </c>
      <c r="J46" s="214" t="s">
        <v>147</v>
      </c>
      <c r="K46" s="193" t="str">
        <f ca="1">IF(NOT(ISERROR(MATCH(J46,'Tabla Impacto'!$B$221:$B$223,0))),'Tabla Impacto'!$F$223&amp;"Por favor no seleccionar los criterios de impacto(Afectación Económica o presupuestal y Pérdida Reputacional)",J46)</f>
        <v xml:space="preserve">     Entre 50 y 100 SMLMV </v>
      </c>
      <c r="L46" s="211" t="str">
        <f ca="1">IF(OR(K46='Tabla Impacto'!$C$11,K46='Tabla Impacto'!$D$11),"Leve",IF(OR(K46='Tabla Impacto'!$C$12,K46='Tabla Impacto'!$D$12),"Menor",IF(OR(K46='Tabla Impacto'!$C$13,K46='Tabla Impacto'!$D$13),"Moderado",IF(OR(K46='Tabla Impacto'!$C$14,K46='Tabla Impacto'!$D$14),"Mayor",IF(OR(K46='Tabla Impacto'!$C$15,K46='Tabla Impacto'!$D$15),"Catastrófico","")))))</f>
        <v>Moderado</v>
      </c>
      <c r="M46" s="193">
        <f ca="1">IF(L46="","",IF(L46="Leve",0.2,IF(L46="Menor",0.4,IF(L46="Moderado",0.6,IF(L46="Mayor",0.8,IF(L46="Catastrófico",1,))))))</f>
        <v>0.6</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5">
        <v>1</v>
      </c>
      <c r="P46" s="26" t="s">
        <v>249</v>
      </c>
      <c r="Q46" s="28" t="str">
        <f>IF(OR(R46="Preventivo",R46="Detectivo"),"Probabilidad",IF(R46="Correctivo","Impacto",""))</f>
        <v>Probabilidad</v>
      </c>
      <c r="R46" s="29" t="s">
        <v>14</v>
      </c>
      <c r="S46" s="29" t="s">
        <v>9</v>
      </c>
      <c r="T46" s="30" t="str">
        <f>IF(AND(R46="Preventivo",S46="Automático"),"50%",IF(AND(R46="Preventivo",S46="Manual"),"40%",IF(AND(R46="Detectivo",S46="Automático"),"40%",IF(AND(R46="Detectivo",S46="Manual"),"30%",IF(AND(R46="Correctivo",S46="Automático"),"35%",IF(AND(R46="Correctivo",S46="Manual"),"25%",""))))))</f>
        <v>40%</v>
      </c>
      <c r="U46" s="29" t="s">
        <v>19</v>
      </c>
      <c r="V46" s="29" t="s">
        <v>22</v>
      </c>
      <c r="W46" s="29" t="s">
        <v>117</v>
      </c>
      <c r="X46" s="13">
        <f>IFERROR(IF(Q46="Probabilidad",(I46-(+I46*T46)),IF(Q46="Impacto",I46,"")),"")</f>
        <v>0.36</v>
      </c>
      <c r="Y46" s="31" t="str">
        <f>IFERROR(IF(X46="","",IF(X46&lt;=0.2,"Muy Baja",IF(X46&lt;=0.4,"Baja",IF(X46&lt;=0.6,"Media",IF(X46&lt;=0.8,"Alta","Muy Alta"))))),"")</f>
        <v>Baja</v>
      </c>
      <c r="Z46" s="32">
        <f>+X46</f>
        <v>0.36</v>
      </c>
      <c r="AA46" s="31" t="str">
        <f ca="1">IFERROR(IF(AB46="","",IF(AB46&lt;=0.2,"Leve",IF(AB46&lt;=0.4,"Menor",IF(AB46&lt;=0.6,"Moderado",IF(AB46&lt;=0.8,"Mayor","Catastrófico"))))),"")</f>
        <v>Moderado</v>
      </c>
      <c r="AB46" s="32">
        <f ca="1">IFERROR(IF(Q46="Impacto",(M46-(+M46*T46)),IF(Q46="Probabilidad",M46,"")),"")</f>
        <v>0.6</v>
      </c>
      <c r="AC46" s="33"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34" t="s">
        <v>31</v>
      </c>
      <c r="AE46" s="35"/>
      <c r="AF46" s="25"/>
      <c r="AG46" s="36"/>
      <c r="AH46" s="36"/>
      <c r="AI46" s="35"/>
      <c r="AJ46" s="25"/>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row>
    <row r="47" spans="1:68" ht="60.75" customHeight="1" x14ac:dyDescent="0.3">
      <c r="A47" s="200"/>
      <c r="B47" s="203"/>
      <c r="C47" s="203"/>
      <c r="D47" s="203"/>
      <c r="E47" s="206"/>
      <c r="F47" s="203"/>
      <c r="G47" s="209"/>
      <c r="H47" s="212"/>
      <c r="I47" s="194"/>
      <c r="J47" s="215"/>
      <c r="K47" s="194">
        <f ca="1">IF(NOT(ISERROR(MATCH(J47,_xlfn.ANCHORARRAY(E58),0))),I60&amp;"Por favor no seleccionar los criterios de impacto",J47)</f>
        <v>0</v>
      </c>
      <c r="L47" s="212"/>
      <c r="M47" s="194"/>
      <c r="N47" s="197"/>
      <c r="O47" s="5">
        <v>2</v>
      </c>
      <c r="P47" s="26" t="s">
        <v>250</v>
      </c>
      <c r="Q47" s="28" t="str">
        <f>IF(OR(R47="Preventivo",R47="Detectivo"),"Probabilidad",IF(R47="Correctivo","Impacto",""))</f>
        <v>Probabilidad</v>
      </c>
      <c r="R47" s="29" t="s">
        <v>14</v>
      </c>
      <c r="S47" s="29" t="s">
        <v>9</v>
      </c>
      <c r="T47" s="30" t="str">
        <f t="shared" ref="T47:T51" si="51">IF(AND(R47="Preventivo",S47="Automático"),"50%",IF(AND(R47="Preventivo",S47="Manual"),"40%",IF(AND(R47="Detectivo",S47="Automático"),"40%",IF(AND(R47="Detectivo",S47="Manual"),"30%",IF(AND(R47="Correctivo",S47="Automático"),"35%",IF(AND(R47="Correctivo",S47="Manual"),"25%",""))))))</f>
        <v>40%</v>
      </c>
      <c r="U47" s="29" t="s">
        <v>19</v>
      </c>
      <c r="V47" s="29" t="s">
        <v>22</v>
      </c>
      <c r="W47" s="29" t="s">
        <v>117</v>
      </c>
      <c r="X47" s="13">
        <f>IFERROR(IF(AND(Q46="Probabilidad",Q47="Probabilidad"),(Z46-(+Z46*T47)),IF(Q47="Probabilidad",(I46-(+I46*T47)),IF(Q47="Impacto",Z46,""))),"")</f>
        <v>0.216</v>
      </c>
      <c r="Y47" s="31" t="str">
        <f t="shared" si="1"/>
        <v>Baja</v>
      </c>
      <c r="Z47" s="32">
        <f t="shared" ref="Z47:Z51" si="52">+X47</f>
        <v>0.216</v>
      </c>
      <c r="AA47" s="31" t="str">
        <f t="shared" ca="1" si="3"/>
        <v>Mayor</v>
      </c>
      <c r="AB47" s="32">
        <f ca="1">IFERROR(IF(AND(Q46="Impacto",Q47="Impacto"),(AB40-(+AB40*T47)),IF(Q47="Impacto",($M$46-(+$M$46*T47)),IF(Q47="Probabilidad",AB40,""))),"")</f>
        <v>0.8</v>
      </c>
      <c r="AC47" s="33" t="str">
        <f t="shared" ref="AC47:AC48" ca="1" si="53">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Alto</v>
      </c>
      <c r="AD47" s="34" t="s">
        <v>31</v>
      </c>
      <c r="AE47" s="35"/>
      <c r="AF47" s="25"/>
      <c r="AG47" s="36"/>
      <c r="AH47" s="36"/>
      <c r="AI47" s="35"/>
      <c r="AJ47" s="25"/>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row>
    <row r="48" spans="1:68" ht="23.25" customHeight="1" x14ac:dyDescent="0.3">
      <c r="A48" s="200"/>
      <c r="B48" s="203"/>
      <c r="C48" s="203"/>
      <c r="D48" s="203"/>
      <c r="E48" s="206"/>
      <c r="F48" s="203"/>
      <c r="G48" s="209"/>
      <c r="H48" s="212"/>
      <c r="I48" s="194"/>
      <c r="J48" s="215"/>
      <c r="K48" s="194">
        <f ca="1">IF(NOT(ISERROR(MATCH(J48,_xlfn.ANCHORARRAY(E59),0))),I61&amp;"Por favor no seleccionar los criterios de impacto",J48)</f>
        <v>0</v>
      </c>
      <c r="L48" s="212"/>
      <c r="M48" s="194"/>
      <c r="N48" s="197"/>
      <c r="O48" s="5">
        <v>3</v>
      </c>
      <c r="P48" s="27"/>
      <c r="Q48" s="28" t="str">
        <f>IF(OR(R48="Preventivo",R48="Detectivo"),"Probabilidad",IF(R48="Correctivo","Impacto",""))</f>
        <v/>
      </c>
      <c r="R48" s="29"/>
      <c r="S48" s="29"/>
      <c r="T48" s="30" t="str">
        <f t="shared" si="51"/>
        <v/>
      </c>
      <c r="U48" s="29"/>
      <c r="V48" s="29"/>
      <c r="W48" s="29"/>
      <c r="X48" s="13" t="str">
        <f>IFERROR(IF(AND(Q47="Probabilidad",Q48="Probabilidad"),(Z47-(+Z47*T48)),IF(AND(Q47="Impacto",Q48="Probabilidad"),(Z46-(+Z46*T48)),IF(Q48="Impacto",Z47,""))),"")</f>
        <v/>
      </c>
      <c r="Y48" s="31" t="str">
        <f t="shared" si="1"/>
        <v/>
      </c>
      <c r="Z48" s="32" t="str">
        <f t="shared" si="52"/>
        <v/>
      </c>
      <c r="AA48" s="31" t="str">
        <f t="shared" si="3"/>
        <v/>
      </c>
      <c r="AB48" s="32" t="str">
        <f>IFERROR(IF(AND(Q47="Impacto",Q48="Impacto"),(AB47-(+AB47*T48)),IF(AND(Q47="Probabilidad",Q48="Impacto"),(AB46-(+AB46*T48)),IF(Q48="Probabilidad",AB47,""))),"")</f>
        <v/>
      </c>
      <c r="AC48" s="33" t="str">
        <f t="shared" si="53"/>
        <v/>
      </c>
      <c r="AD48" s="34"/>
      <c r="AE48" s="35"/>
      <c r="AF48" s="25"/>
      <c r="AG48" s="36"/>
      <c r="AH48" s="36"/>
      <c r="AI48" s="35"/>
      <c r="AJ48" s="25"/>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row>
    <row r="49" spans="1:68" ht="23.25" customHeight="1" x14ac:dyDescent="0.3">
      <c r="A49" s="200"/>
      <c r="B49" s="203"/>
      <c r="C49" s="203"/>
      <c r="D49" s="203"/>
      <c r="E49" s="206"/>
      <c r="F49" s="203"/>
      <c r="G49" s="209"/>
      <c r="H49" s="212"/>
      <c r="I49" s="194"/>
      <c r="J49" s="215"/>
      <c r="K49" s="194">
        <f ca="1">IF(NOT(ISERROR(MATCH(J49,_xlfn.ANCHORARRAY(E60),0))),I62&amp;"Por favor no seleccionar los criterios de impacto",J49)</f>
        <v>0</v>
      </c>
      <c r="L49" s="212"/>
      <c r="M49" s="194"/>
      <c r="N49" s="197"/>
      <c r="O49" s="5">
        <v>4</v>
      </c>
      <c r="P49" s="26"/>
      <c r="Q49" s="28" t="str">
        <f t="shared" ref="Q49:Q51" si="54">IF(OR(R49="Preventivo",R49="Detectivo"),"Probabilidad",IF(R49="Correctivo","Impacto",""))</f>
        <v/>
      </c>
      <c r="R49" s="29"/>
      <c r="S49" s="29"/>
      <c r="T49" s="30" t="str">
        <f t="shared" si="51"/>
        <v/>
      </c>
      <c r="U49" s="29"/>
      <c r="V49" s="29"/>
      <c r="W49" s="29"/>
      <c r="X49" s="13" t="str">
        <f t="shared" ref="X49:X51" si="55">IFERROR(IF(AND(Q48="Probabilidad",Q49="Probabilidad"),(Z48-(+Z48*T49)),IF(AND(Q48="Impacto",Q49="Probabilidad"),(Z47-(+Z47*T49)),IF(Q49="Impacto",Z48,""))),"")</f>
        <v/>
      </c>
      <c r="Y49" s="31" t="str">
        <f t="shared" si="1"/>
        <v/>
      </c>
      <c r="Z49" s="32" t="str">
        <f t="shared" si="52"/>
        <v/>
      </c>
      <c r="AA49" s="31" t="str">
        <f t="shared" si="3"/>
        <v/>
      </c>
      <c r="AB49" s="32" t="str">
        <f t="shared" ref="AB49:AB51" si="56">IFERROR(IF(AND(Q48="Impacto",Q49="Impacto"),(AB48-(+AB48*T49)),IF(AND(Q48="Probabilidad",Q49="Impacto"),(AB47-(+AB47*T49)),IF(Q49="Probabilidad",AB48,""))),"")</f>
        <v/>
      </c>
      <c r="AC49" s="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34"/>
      <c r="AE49" s="35"/>
      <c r="AF49" s="25"/>
      <c r="AG49" s="36"/>
      <c r="AH49" s="36"/>
      <c r="AI49" s="35"/>
      <c r="AJ49" s="25"/>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row>
    <row r="50" spans="1:68" ht="23.25" customHeight="1" x14ac:dyDescent="0.3">
      <c r="A50" s="200"/>
      <c r="B50" s="203"/>
      <c r="C50" s="203"/>
      <c r="D50" s="203"/>
      <c r="E50" s="206"/>
      <c r="F50" s="203"/>
      <c r="G50" s="209"/>
      <c r="H50" s="212"/>
      <c r="I50" s="194"/>
      <c r="J50" s="215"/>
      <c r="K50" s="194">
        <f ca="1">IF(NOT(ISERROR(MATCH(J50,_xlfn.ANCHORARRAY(E61),0))),I63&amp;"Por favor no seleccionar los criterios de impacto",J50)</f>
        <v>0</v>
      </c>
      <c r="L50" s="212"/>
      <c r="M50" s="194"/>
      <c r="N50" s="197"/>
      <c r="O50" s="5">
        <v>5</v>
      </c>
      <c r="P50" s="26"/>
      <c r="Q50" s="28" t="str">
        <f t="shared" si="54"/>
        <v/>
      </c>
      <c r="R50" s="29"/>
      <c r="S50" s="29"/>
      <c r="T50" s="30" t="str">
        <f t="shared" si="51"/>
        <v/>
      </c>
      <c r="U50" s="29"/>
      <c r="V50" s="29"/>
      <c r="W50" s="29"/>
      <c r="X50" s="13" t="str">
        <f t="shared" si="55"/>
        <v/>
      </c>
      <c r="Y50" s="31" t="str">
        <f t="shared" si="1"/>
        <v/>
      </c>
      <c r="Z50" s="32" t="str">
        <f t="shared" si="52"/>
        <v/>
      </c>
      <c r="AA50" s="31" t="str">
        <f t="shared" si="3"/>
        <v/>
      </c>
      <c r="AB50" s="32" t="str">
        <f t="shared" si="56"/>
        <v/>
      </c>
      <c r="AC50" s="33" t="str">
        <f t="shared" ref="AC50:AC51" si="57">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34"/>
      <c r="AE50" s="35"/>
      <c r="AF50" s="25"/>
      <c r="AG50" s="36"/>
      <c r="AH50" s="36"/>
      <c r="AI50" s="35"/>
      <c r="AJ50" s="25"/>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row>
    <row r="51" spans="1:68" ht="23.25" customHeight="1" x14ac:dyDescent="0.3">
      <c r="A51" s="201"/>
      <c r="B51" s="204"/>
      <c r="C51" s="204"/>
      <c r="D51" s="204"/>
      <c r="E51" s="207"/>
      <c r="F51" s="204"/>
      <c r="G51" s="210"/>
      <c r="H51" s="213"/>
      <c r="I51" s="195"/>
      <c r="J51" s="216"/>
      <c r="K51" s="195">
        <f ca="1">IF(NOT(ISERROR(MATCH(J51,_xlfn.ANCHORARRAY(E62),0))),I64&amp;"Por favor no seleccionar los criterios de impacto",J51)</f>
        <v>0</v>
      </c>
      <c r="L51" s="213"/>
      <c r="M51" s="195"/>
      <c r="N51" s="198"/>
      <c r="O51" s="5">
        <v>6</v>
      </c>
      <c r="P51" s="26"/>
      <c r="Q51" s="28" t="str">
        <f t="shared" si="54"/>
        <v/>
      </c>
      <c r="R51" s="29"/>
      <c r="S51" s="29"/>
      <c r="T51" s="30" t="str">
        <f t="shared" si="51"/>
        <v/>
      </c>
      <c r="U51" s="29"/>
      <c r="V51" s="29"/>
      <c r="W51" s="29"/>
      <c r="X51" s="13" t="str">
        <f t="shared" si="55"/>
        <v/>
      </c>
      <c r="Y51" s="31" t="str">
        <f t="shared" si="1"/>
        <v/>
      </c>
      <c r="Z51" s="32" t="str">
        <f t="shared" si="52"/>
        <v/>
      </c>
      <c r="AA51" s="31" t="str">
        <f t="shared" si="3"/>
        <v/>
      </c>
      <c r="AB51" s="32" t="str">
        <f t="shared" si="56"/>
        <v/>
      </c>
      <c r="AC51" s="33" t="str">
        <f t="shared" si="57"/>
        <v/>
      </c>
      <c r="AD51" s="34"/>
      <c r="AE51" s="35"/>
      <c r="AF51" s="25"/>
      <c r="AG51" s="36"/>
      <c r="AH51" s="36"/>
      <c r="AI51" s="35"/>
      <c r="AJ51" s="25"/>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row>
    <row r="52" spans="1:68" ht="23.25" customHeight="1" x14ac:dyDescent="0.3">
      <c r="A52" s="199">
        <v>8</v>
      </c>
      <c r="B52" s="202"/>
      <c r="C52" s="202"/>
      <c r="D52" s="202"/>
      <c r="E52" s="205"/>
      <c r="F52" s="202"/>
      <c r="G52" s="208"/>
      <c r="H52" s="211" t="str">
        <f>IF(G52&lt;=0,"",IF(G52&lt;=2,"Muy Baja",IF(G52&lt;=24,"Baja",IF(G52&lt;=500,"Media",IF(G52&lt;=5000,"Alta","Muy Alta")))))</f>
        <v/>
      </c>
      <c r="I52" s="193" t="str">
        <f>IF(H52="","",IF(H52="Muy Baja",0.2,IF(H52="Baja",0.4,IF(H52="Media",0.6,IF(H52="Alta",0.8,IF(H52="Muy Alta",1,))))))</f>
        <v/>
      </c>
      <c r="J52" s="214"/>
      <c r="K52" s="193">
        <f ca="1">IF(NOT(ISERROR(MATCH(J52,'Tabla Impacto'!$B$221:$B$223,0))),'Tabla Impacto'!$F$223&amp;"Por favor no seleccionar los criterios de impacto(Afectación Económica o presupuestal y Pérdida Reputacional)",J52)</f>
        <v>0</v>
      </c>
      <c r="L52" s="211" t="str">
        <f ca="1">IF(OR(K52='Tabla Impacto'!$C$11,K52='Tabla Impacto'!$D$11),"Leve",IF(OR(K52='Tabla Impacto'!$C$12,K52='Tabla Impacto'!$D$12),"Menor",IF(OR(K52='Tabla Impacto'!$C$13,K52='Tabla Impacto'!$D$13),"Moderado",IF(OR(K52='Tabla Impacto'!$C$14,K52='Tabla Impacto'!$D$14),"Mayor",IF(OR(K52='Tabla Impacto'!$C$15,K52='Tabla Impacto'!$D$15),"Catastrófico","")))))</f>
        <v/>
      </c>
      <c r="M52" s="193" t="str">
        <f ca="1">IF(L52="","",IF(L52="Leve",0.2,IF(L52="Menor",0.4,IF(L52="Moderado",0.6,IF(L52="Mayor",0.8,IF(L52="Catastrófico",1,))))))</f>
        <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5">
        <v>1</v>
      </c>
      <c r="P52" s="26"/>
      <c r="Q52" s="28" t="str">
        <f>IF(OR(R52="Preventivo",R52="Detectivo"),"Probabilidad",IF(R52="Correctivo","Impacto",""))</f>
        <v/>
      </c>
      <c r="R52" s="29"/>
      <c r="S52" s="29"/>
      <c r="T52" s="30" t="str">
        <f>IF(AND(R52="Preventivo",S52="Automático"),"50%",IF(AND(R52="Preventivo",S52="Manual"),"40%",IF(AND(R52="Detectivo",S52="Automático"),"40%",IF(AND(R52="Detectivo",S52="Manual"),"30%",IF(AND(R52="Correctivo",S52="Automático"),"35%",IF(AND(R52="Correctivo",S52="Manual"),"25%",""))))))</f>
        <v/>
      </c>
      <c r="U52" s="29"/>
      <c r="V52" s="29"/>
      <c r="W52" s="29"/>
      <c r="X52" s="13" t="str">
        <f>IFERROR(IF(Q52="Probabilidad",(I52-(+I52*T52)),IF(Q52="Impacto",I52,"")),"")</f>
        <v/>
      </c>
      <c r="Y52" s="31" t="str">
        <f>IFERROR(IF(X52="","",IF(X52&lt;=0.2,"Muy Baja",IF(X52&lt;=0.4,"Baja",IF(X52&lt;=0.6,"Media",IF(X52&lt;=0.8,"Alta","Muy Alta"))))),"")</f>
        <v/>
      </c>
      <c r="Z52" s="32" t="str">
        <f>+X52</f>
        <v/>
      </c>
      <c r="AA52" s="31" t="str">
        <f>IFERROR(IF(AB52="","",IF(AB52&lt;=0.2,"Leve",IF(AB52&lt;=0.4,"Menor",IF(AB52&lt;=0.6,"Moderado",IF(AB52&lt;=0.8,"Mayor","Catastrófico"))))),"")</f>
        <v/>
      </c>
      <c r="AB52" s="32" t="str">
        <f>IFERROR(IF(Q52="Impacto",(M52-(+M52*T52)),IF(Q52="Probabilidad",M52,"")),"")</f>
        <v/>
      </c>
      <c r="AC52" s="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34"/>
      <c r="AE52" s="35"/>
      <c r="AF52" s="25"/>
      <c r="AG52" s="36"/>
      <c r="AH52" s="36"/>
      <c r="AI52" s="35"/>
      <c r="AJ52" s="25"/>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row>
    <row r="53" spans="1:68" ht="23.2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5">
        <v>2</v>
      </c>
      <c r="P53" s="26"/>
      <c r="Q53" s="28" t="str">
        <f>IF(OR(R53="Preventivo",R53="Detectivo"),"Probabilidad",IF(R53="Correctivo","Impacto",""))</f>
        <v/>
      </c>
      <c r="R53" s="29"/>
      <c r="S53" s="29"/>
      <c r="T53" s="30" t="str">
        <f t="shared" ref="T53:T57" si="58">IF(AND(R53="Preventivo",S53="Automático"),"50%",IF(AND(R53="Preventivo",S53="Manual"),"40%",IF(AND(R53="Detectivo",S53="Automático"),"40%",IF(AND(R53="Detectivo",S53="Manual"),"30%",IF(AND(R53="Correctivo",S53="Automático"),"35%",IF(AND(R53="Correctivo",S53="Manual"),"25%",""))))))</f>
        <v/>
      </c>
      <c r="U53" s="29"/>
      <c r="V53" s="29"/>
      <c r="W53" s="29"/>
      <c r="X53" s="13" t="str">
        <f>IFERROR(IF(AND(Q52="Probabilidad",Q53="Probabilidad"),(Z52-(+Z52*T53)),IF(Q53="Probabilidad",(I52-(+I52*T53)),IF(Q53="Impacto",Z52,""))),"")</f>
        <v/>
      </c>
      <c r="Y53" s="31" t="str">
        <f t="shared" si="1"/>
        <v/>
      </c>
      <c r="Z53" s="32" t="str">
        <f t="shared" ref="Z53:Z57" si="59">+X53</f>
        <v/>
      </c>
      <c r="AA53" s="31" t="str">
        <f t="shared" si="3"/>
        <v/>
      </c>
      <c r="AB53" s="32" t="str">
        <f>IFERROR(IF(AND(Q52="Impacto",Q53="Impacto"),(AB46-(+AB46*T53)),IF(Q53="Impacto",($M$52-(+$M$52*T53)),IF(Q53="Probabilidad",AB46,""))),"")</f>
        <v/>
      </c>
      <c r="AC53" s="33" t="str">
        <f t="shared" ref="AC53:AC54" si="60">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34"/>
      <c r="AE53" s="35"/>
      <c r="AF53" s="25"/>
      <c r="AG53" s="36"/>
      <c r="AH53" s="36"/>
      <c r="AI53" s="35"/>
      <c r="AJ53" s="25"/>
    </row>
    <row r="54" spans="1:68" ht="23.2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5">
        <v>3</v>
      </c>
      <c r="P54" s="27"/>
      <c r="Q54" s="28" t="str">
        <f>IF(OR(R54="Preventivo",R54="Detectivo"),"Probabilidad",IF(R54="Correctivo","Impacto",""))</f>
        <v/>
      </c>
      <c r="R54" s="29"/>
      <c r="S54" s="29"/>
      <c r="T54" s="30" t="str">
        <f t="shared" si="58"/>
        <v/>
      </c>
      <c r="U54" s="29"/>
      <c r="V54" s="29"/>
      <c r="W54" s="29"/>
      <c r="X54" s="13" t="str">
        <f>IFERROR(IF(AND(Q53="Probabilidad",Q54="Probabilidad"),(Z53-(+Z53*T54)),IF(AND(Q53="Impacto",Q54="Probabilidad"),(Z52-(+Z52*T54)),IF(Q54="Impacto",Z53,""))),"")</f>
        <v/>
      </c>
      <c r="Y54" s="31" t="str">
        <f t="shared" si="1"/>
        <v/>
      </c>
      <c r="Z54" s="32" t="str">
        <f t="shared" si="59"/>
        <v/>
      </c>
      <c r="AA54" s="31" t="str">
        <f t="shared" si="3"/>
        <v/>
      </c>
      <c r="AB54" s="32" t="str">
        <f>IFERROR(IF(AND(Q53="Impacto",Q54="Impacto"),(AB53-(+AB53*T54)),IF(AND(Q53="Probabilidad",Q54="Impacto"),(AB52-(+AB52*T54)),IF(Q54="Probabilidad",AB53,""))),"")</f>
        <v/>
      </c>
      <c r="AC54" s="33" t="str">
        <f t="shared" si="60"/>
        <v/>
      </c>
      <c r="AD54" s="34"/>
      <c r="AE54" s="35"/>
      <c r="AF54" s="25"/>
      <c r="AG54" s="36"/>
      <c r="AH54" s="36"/>
      <c r="AI54" s="35"/>
      <c r="AJ54" s="25"/>
    </row>
    <row r="55" spans="1:68" ht="23.2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5">
        <v>4</v>
      </c>
      <c r="P55" s="26"/>
      <c r="Q55" s="28" t="str">
        <f t="shared" ref="Q55:Q57" si="61">IF(OR(R55="Preventivo",R55="Detectivo"),"Probabilidad",IF(R55="Correctivo","Impacto",""))</f>
        <v/>
      </c>
      <c r="R55" s="29"/>
      <c r="S55" s="29"/>
      <c r="T55" s="30" t="str">
        <f t="shared" si="58"/>
        <v/>
      </c>
      <c r="U55" s="29"/>
      <c r="V55" s="29"/>
      <c r="W55" s="29"/>
      <c r="X55" s="13" t="str">
        <f t="shared" ref="X55:X57" si="62">IFERROR(IF(AND(Q54="Probabilidad",Q55="Probabilidad"),(Z54-(+Z54*T55)),IF(AND(Q54="Impacto",Q55="Probabilidad"),(Z53-(+Z53*T55)),IF(Q55="Impacto",Z54,""))),"")</f>
        <v/>
      </c>
      <c r="Y55" s="31" t="str">
        <f t="shared" si="1"/>
        <v/>
      </c>
      <c r="Z55" s="32" t="str">
        <f t="shared" si="59"/>
        <v/>
      </c>
      <c r="AA55" s="31" t="str">
        <f t="shared" si="3"/>
        <v/>
      </c>
      <c r="AB55" s="32" t="str">
        <f t="shared" ref="AB55:AB57" si="63">IFERROR(IF(AND(Q54="Impacto",Q55="Impacto"),(AB54-(+AB54*T55)),IF(AND(Q54="Probabilidad",Q55="Impacto"),(AB53-(+AB53*T55)),IF(Q55="Probabilidad",AB54,""))),"")</f>
        <v/>
      </c>
      <c r="AC55" s="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34"/>
      <c r="AE55" s="35"/>
      <c r="AF55" s="25"/>
      <c r="AG55" s="36"/>
      <c r="AH55" s="36"/>
      <c r="AI55" s="35"/>
      <c r="AJ55" s="25"/>
    </row>
    <row r="56" spans="1:68" ht="23.2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5">
        <v>5</v>
      </c>
      <c r="P56" s="26"/>
      <c r="Q56" s="28" t="str">
        <f t="shared" si="61"/>
        <v/>
      </c>
      <c r="R56" s="29"/>
      <c r="S56" s="29"/>
      <c r="T56" s="30" t="str">
        <f t="shared" si="58"/>
        <v/>
      </c>
      <c r="U56" s="29"/>
      <c r="V56" s="29"/>
      <c r="W56" s="29"/>
      <c r="X56" s="13" t="str">
        <f t="shared" si="62"/>
        <v/>
      </c>
      <c r="Y56" s="31" t="str">
        <f t="shared" si="1"/>
        <v/>
      </c>
      <c r="Z56" s="32" t="str">
        <f t="shared" si="59"/>
        <v/>
      </c>
      <c r="AA56" s="31" t="str">
        <f t="shared" si="3"/>
        <v/>
      </c>
      <c r="AB56" s="32" t="str">
        <f t="shared" si="63"/>
        <v/>
      </c>
      <c r="AC56" s="33" t="str">
        <f t="shared" ref="AC56:AC57" si="64">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34"/>
      <c r="AE56" s="35"/>
      <c r="AF56" s="25"/>
      <c r="AG56" s="36"/>
      <c r="AH56" s="36"/>
      <c r="AI56" s="35"/>
      <c r="AJ56" s="25"/>
    </row>
    <row r="57" spans="1:68" ht="23.2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5">
        <v>6</v>
      </c>
      <c r="P57" s="26"/>
      <c r="Q57" s="28" t="str">
        <f t="shared" si="61"/>
        <v/>
      </c>
      <c r="R57" s="29"/>
      <c r="S57" s="29"/>
      <c r="T57" s="30" t="str">
        <f t="shared" si="58"/>
        <v/>
      </c>
      <c r="U57" s="29"/>
      <c r="V57" s="29"/>
      <c r="W57" s="29"/>
      <c r="X57" s="13" t="str">
        <f t="shared" si="62"/>
        <v/>
      </c>
      <c r="Y57" s="31" t="str">
        <f t="shared" si="1"/>
        <v/>
      </c>
      <c r="Z57" s="32" t="str">
        <f t="shared" si="59"/>
        <v/>
      </c>
      <c r="AA57" s="31" t="str">
        <f t="shared" si="3"/>
        <v/>
      </c>
      <c r="AB57" s="32" t="str">
        <f t="shared" si="63"/>
        <v/>
      </c>
      <c r="AC57" s="33" t="str">
        <f t="shared" si="64"/>
        <v/>
      </c>
      <c r="AD57" s="34"/>
      <c r="AE57" s="35"/>
      <c r="AF57" s="25"/>
      <c r="AG57" s="36"/>
      <c r="AH57" s="36"/>
      <c r="AI57" s="35"/>
      <c r="AJ57" s="25"/>
    </row>
    <row r="58" spans="1:68" ht="49.5" customHeight="1" x14ac:dyDescent="0.3">
      <c r="A58" s="5"/>
      <c r="B58" s="190" t="s">
        <v>129</v>
      </c>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2"/>
    </row>
    <row r="60" spans="1:68" x14ac:dyDescent="0.3">
      <c r="A60" s="1"/>
      <c r="B60" s="14" t="s">
        <v>141</v>
      </c>
      <c r="C60" s="1"/>
      <c r="D60" s="1"/>
      <c r="F60" s="1"/>
    </row>
  </sheetData>
  <dataConsolidate/>
  <mergeCells count="157">
    <mergeCell ref="H22:H27"/>
    <mergeCell ref="I22:I27"/>
    <mergeCell ref="J22:J27"/>
    <mergeCell ref="K22:K27"/>
    <mergeCell ref="L22:L27"/>
    <mergeCell ref="M22:M27"/>
    <mergeCell ref="N22:N27"/>
    <mergeCell ref="C4:N4"/>
    <mergeCell ref="O4:Q4"/>
    <mergeCell ref="AA8:AA9"/>
    <mergeCell ref="Y8:Y9"/>
    <mergeCell ref="Z8:Z9"/>
    <mergeCell ref="G8:G9"/>
    <mergeCell ref="H8:H9"/>
    <mergeCell ref="I8:I9"/>
    <mergeCell ref="B8:B9"/>
    <mergeCell ref="N8:N9"/>
    <mergeCell ref="J8:J9"/>
    <mergeCell ref="K8:K9"/>
    <mergeCell ref="Q8:Q9"/>
    <mergeCell ref="R8:W8"/>
    <mergeCell ref="A4:B4"/>
    <mergeCell ref="A5:B5"/>
    <mergeCell ref="A6:B6"/>
    <mergeCell ref="A8:A9"/>
    <mergeCell ref="F8:F9"/>
    <mergeCell ref="E8:E9"/>
    <mergeCell ref="D8:D9"/>
    <mergeCell ref="C8:C9"/>
    <mergeCell ref="C5:N5"/>
    <mergeCell ref="C6:N6"/>
    <mergeCell ref="AE8:AE9"/>
    <mergeCell ref="AJ8:AJ9"/>
    <mergeCell ref="AI8:AI9"/>
    <mergeCell ref="AH8:AH9"/>
    <mergeCell ref="AG8:AG9"/>
    <mergeCell ref="AF8:AF9"/>
    <mergeCell ref="L8:L9"/>
    <mergeCell ref="M8:M9"/>
    <mergeCell ref="J10:J15"/>
    <mergeCell ref="K10:K15"/>
    <mergeCell ref="L10:L15"/>
    <mergeCell ref="M10:M15"/>
    <mergeCell ref="N10:N15"/>
    <mergeCell ref="AD8:AD9"/>
    <mergeCell ref="AC8:AC9"/>
    <mergeCell ref="AB8:AB9"/>
    <mergeCell ref="X8:X9"/>
    <mergeCell ref="P8:P9"/>
    <mergeCell ref="O8:O9"/>
    <mergeCell ref="A10:A15"/>
    <mergeCell ref="B10:B15"/>
    <mergeCell ref="C10:C15"/>
    <mergeCell ref="D10:D15"/>
    <mergeCell ref="E10:E15"/>
    <mergeCell ref="F10:F15"/>
    <mergeCell ref="G10:G15"/>
    <mergeCell ref="H10:H15"/>
    <mergeCell ref="I10:I15"/>
    <mergeCell ref="M16:M21"/>
    <mergeCell ref="N16:N21"/>
    <mergeCell ref="M28:M33"/>
    <mergeCell ref="N28:N33"/>
    <mergeCell ref="J34:J39"/>
    <mergeCell ref="K34:K39"/>
    <mergeCell ref="L34:L39"/>
    <mergeCell ref="A16:A21"/>
    <mergeCell ref="B16:B21"/>
    <mergeCell ref="C16:C21"/>
    <mergeCell ref="A28:A33"/>
    <mergeCell ref="B28:B33"/>
    <mergeCell ref="C28:C33"/>
    <mergeCell ref="D28:D33"/>
    <mergeCell ref="E28:E33"/>
    <mergeCell ref="F28:F33"/>
    <mergeCell ref="D16:D21"/>
    <mergeCell ref="E16:E21"/>
    <mergeCell ref="J28:J33"/>
    <mergeCell ref="K28:K33"/>
    <mergeCell ref="L28:L33"/>
    <mergeCell ref="F16:F21"/>
    <mergeCell ref="G16:G21"/>
    <mergeCell ref="H16:H21"/>
    <mergeCell ref="I16:I21"/>
    <mergeCell ref="J16:J21"/>
    <mergeCell ref="G28:G33"/>
    <mergeCell ref="H28:H33"/>
    <mergeCell ref="I28:I33"/>
    <mergeCell ref="K16:K21"/>
    <mergeCell ref="L16:L21"/>
    <mergeCell ref="A40:A45"/>
    <mergeCell ref="B40:B45"/>
    <mergeCell ref="C40:C45"/>
    <mergeCell ref="D40:D45"/>
    <mergeCell ref="E40:E45"/>
    <mergeCell ref="A34:A39"/>
    <mergeCell ref="B34:B39"/>
    <mergeCell ref="C34:C39"/>
    <mergeCell ref="D34:D39"/>
    <mergeCell ref="E34:E39"/>
    <mergeCell ref="A22:A27"/>
    <mergeCell ref="B22:B27"/>
    <mergeCell ref="C22:C27"/>
    <mergeCell ref="D22:D27"/>
    <mergeCell ref="E22:E27"/>
    <mergeCell ref="F22:F27"/>
    <mergeCell ref="G22:G27"/>
    <mergeCell ref="M34:M39"/>
    <mergeCell ref="N34:N39"/>
    <mergeCell ref="F40:F45"/>
    <mergeCell ref="G40:G45"/>
    <mergeCell ref="H40:H45"/>
    <mergeCell ref="I40:I45"/>
    <mergeCell ref="J40:J45"/>
    <mergeCell ref="F34:F39"/>
    <mergeCell ref="G34:G39"/>
    <mergeCell ref="H34:H39"/>
    <mergeCell ref="I34:I39"/>
    <mergeCell ref="K40:K45"/>
    <mergeCell ref="L40:L45"/>
    <mergeCell ref="M40:M45"/>
    <mergeCell ref="N40:N45"/>
    <mergeCell ref="K46:K51"/>
    <mergeCell ref="L46:L51"/>
    <mergeCell ref="A46:A51"/>
    <mergeCell ref="B46:B51"/>
    <mergeCell ref="C46:C51"/>
    <mergeCell ref="D46:D51"/>
    <mergeCell ref="E46:E51"/>
    <mergeCell ref="F46:F51"/>
    <mergeCell ref="G46:G51"/>
    <mergeCell ref="H46:H51"/>
    <mergeCell ref="I46:I51"/>
    <mergeCell ref="A1:AJ2"/>
    <mergeCell ref="A7:G7"/>
    <mergeCell ref="H7:N7"/>
    <mergeCell ref="O7:W7"/>
    <mergeCell ref="X7:AD7"/>
    <mergeCell ref="AE7:AJ7"/>
    <mergeCell ref="B58:AJ58"/>
    <mergeCell ref="M46:M51"/>
    <mergeCell ref="N46:N51"/>
    <mergeCell ref="A52:A57"/>
    <mergeCell ref="B52:B57"/>
    <mergeCell ref="C52:C57"/>
    <mergeCell ref="D52:D57"/>
    <mergeCell ref="E52:E57"/>
    <mergeCell ref="F52:F57"/>
    <mergeCell ref="G52:G57"/>
    <mergeCell ref="H52:H57"/>
    <mergeCell ref="I52:I57"/>
    <mergeCell ref="J52:J57"/>
    <mergeCell ref="K52:K57"/>
    <mergeCell ref="L52:L57"/>
    <mergeCell ref="M52:M57"/>
    <mergeCell ref="N52:N57"/>
    <mergeCell ref="J46:J51"/>
  </mergeCells>
  <conditionalFormatting sqref="L10 L16 L28 L34 L40 L46 L52">
    <cfRule type="cellIs" dxfId="237" priority="430" operator="equal">
      <formula>"Catastrófico"</formula>
    </cfRule>
    <cfRule type="cellIs" dxfId="236" priority="431" operator="equal">
      <formula>"Mayor"</formula>
    </cfRule>
    <cfRule type="cellIs" dxfId="235" priority="432" operator="equal">
      <formula>"Moderado"</formula>
    </cfRule>
    <cfRule type="cellIs" dxfId="234" priority="433" operator="equal">
      <formula>"Menor"</formula>
    </cfRule>
    <cfRule type="cellIs" dxfId="233" priority="434" operator="equal">
      <formula>"Leve"</formula>
    </cfRule>
  </conditionalFormatting>
  <conditionalFormatting sqref="N10">
    <cfRule type="cellIs" dxfId="232" priority="328" operator="equal">
      <formula>"Extremo"</formula>
    </cfRule>
    <cfRule type="cellIs" dxfId="231" priority="329" operator="equal">
      <formula>"Alto"</formula>
    </cfRule>
    <cfRule type="cellIs" dxfId="230" priority="330" operator="equal">
      <formula>"Moderado"</formula>
    </cfRule>
    <cfRule type="cellIs" dxfId="229" priority="331" operator="equal">
      <formula>"Bajo"</formula>
    </cfRule>
  </conditionalFormatting>
  <conditionalFormatting sqref="Y10:Y15">
    <cfRule type="cellIs" dxfId="228" priority="323" operator="equal">
      <formula>"Muy Alta"</formula>
    </cfRule>
    <cfRule type="cellIs" dxfId="227" priority="324" operator="equal">
      <formula>"Alta"</formula>
    </cfRule>
    <cfRule type="cellIs" dxfId="226" priority="325" operator="equal">
      <formula>"Media"</formula>
    </cfRule>
    <cfRule type="cellIs" dxfId="225" priority="326" operator="equal">
      <formula>"Baja"</formula>
    </cfRule>
    <cfRule type="cellIs" dxfId="224" priority="327" operator="equal">
      <formula>"Muy Baja"</formula>
    </cfRule>
  </conditionalFormatting>
  <conditionalFormatting sqref="AA10:AA15">
    <cfRule type="cellIs" dxfId="223" priority="318" operator="equal">
      <formula>"Catastrófico"</formula>
    </cfRule>
    <cfRule type="cellIs" dxfId="222" priority="319" operator="equal">
      <formula>"Mayor"</formula>
    </cfRule>
    <cfRule type="cellIs" dxfId="221" priority="320" operator="equal">
      <formula>"Moderado"</formula>
    </cfRule>
    <cfRule type="cellIs" dxfId="220" priority="321" operator="equal">
      <formula>"Menor"</formula>
    </cfRule>
    <cfRule type="cellIs" dxfId="219" priority="322" operator="equal">
      <formula>"Leve"</formula>
    </cfRule>
  </conditionalFormatting>
  <conditionalFormatting sqref="AC10:AC15">
    <cfRule type="cellIs" dxfId="218" priority="314" operator="equal">
      <formula>"Extremo"</formula>
    </cfRule>
    <cfRule type="cellIs" dxfId="217" priority="315" operator="equal">
      <formula>"Alto"</formula>
    </cfRule>
    <cfRule type="cellIs" dxfId="216" priority="316" operator="equal">
      <formula>"Moderado"</formula>
    </cfRule>
    <cfRule type="cellIs" dxfId="215" priority="317" operator="equal">
      <formula>"Bajo"</formula>
    </cfRule>
  </conditionalFormatting>
  <conditionalFormatting sqref="N16">
    <cfRule type="cellIs" dxfId="214" priority="272" operator="equal">
      <formula>"Extremo"</formula>
    </cfRule>
    <cfRule type="cellIs" dxfId="213" priority="273" operator="equal">
      <formula>"Alto"</formula>
    </cfRule>
    <cfRule type="cellIs" dxfId="212" priority="274" operator="equal">
      <formula>"Moderado"</formula>
    </cfRule>
    <cfRule type="cellIs" dxfId="211" priority="275" operator="equal">
      <formula>"Bajo"</formula>
    </cfRule>
  </conditionalFormatting>
  <conditionalFormatting sqref="Y16:Y21">
    <cfRule type="cellIs" dxfId="210" priority="267" operator="equal">
      <formula>"Muy Alta"</formula>
    </cfRule>
    <cfRule type="cellIs" dxfId="209" priority="268" operator="equal">
      <formula>"Alta"</formula>
    </cfRule>
    <cfRule type="cellIs" dxfId="208" priority="269" operator="equal">
      <formula>"Media"</formula>
    </cfRule>
    <cfRule type="cellIs" dxfId="207" priority="270" operator="equal">
      <formula>"Baja"</formula>
    </cfRule>
    <cfRule type="cellIs" dxfId="206" priority="271" operator="equal">
      <formula>"Muy Baja"</formula>
    </cfRule>
  </conditionalFormatting>
  <conditionalFormatting sqref="AA16:AA21">
    <cfRule type="cellIs" dxfId="205" priority="262" operator="equal">
      <formula>"Catastrófico"</formula>
    </cfRule>
    <cfRule type="cellIs" dxfId="204" priority="263" operator="equal">
      <formula>"Mayor"</formula>
    </cfRule>
    <cfRule type="cellIs" dxfId="203" priority="264" operator="equal">
      <formula>"Moderado"</formula>
    </cfRule>
    <cfRule type="cellIs" dxfId="202" priority="265" operator="equal">
      <formula>"Menor"</formula>
    </cfRule>
    <cfRule type="cellIs" dxfId="201" priority="266" operator="equal">
      <formula>"Leve"</formula>
    </cfRule>
  </conditionalFormatting>
  <conditionalFormatting sqref="AC16:AC21">
    <cfRule type="cellIs" dxfId="200" priority="258" operator="equal">
      <formula>"Extremo"</formula>
    </cfRule>
    <cfRule type="cellIs" dxfId="199" priority="259" operator="equal">
      <formula>"Alto"</formula>
    </cfRule>
    <cfRule type="cellIs" dxfId="198" priority="260" operator="equal">
      <formula>"Moderado"</formula>
    </cfRule>
    <cfRule type="cellIs" dxfId="197" priority="261" operator="equal">
      <formula>"Bajo"</formula>
    </cfRule>
  </conditionalFormatting>
  <conditionalFormatting sqref="N28">
    <cfRule type="cellIs" dxfId="196" priority="244" operator="equal">
      <formula>"Extremo"</formula>
    </cfRule>
    <cfRule type="cellIs" dxfId="195" priority="245" operator="equal">
      <formula>"Alto"</formula>
    </cfRule>
    <cfRule type="cellIs" dxfId="194" priority="246" operator="equal">
      <formula>"Moderado"</formula>
    </cfRule>
    <cfRule type="cellIs" dxfId="193" priority="247" operator="equal">
      <formula>"Bajo"</formula>
    </cfRule>
  </conditionalFormatting>
  <conditionalFormatting sqref="Y30:Y33">
    <cfRule type="cellIs" dxfId="192" priority="239" operator="equal">
      <formula>"Muy Alta"</formula>
    </cfRule>
    <cfRule type="cellIs" dxfId="191" priority="240" operator="equal">
      <formula>"Alta"</formula>
    </cfRule>
    <cfRule type="cellIs" dxfId="190" priority="241" operator="equal">
      <formula>"Media"</formula>
    </cfRule>
    <cfRule type="cellIs" dxfId="189" priority="242" operator="equal">
      <formula>"Baja"</formula>
    </cfRule>
    <cfRule type="cellIs" dxfId="188" priority="243" operator="equal">
      <formula>"Muy Baja"</formula>
    </cfRule>
  </conditionalFormatting>
  <conditionalFormatting sqref="AA30:AA33">
    <cfRule type="cellIs" dxfId="187" priority="234" operator="equal">
      <formula>"Catastrófico"</formula>
    </cfRule>
    <cfRule type="cellIs" dxfId="186" priority="235" operator="equal">
      <formula>"Mayor"</formula>
    </cfRule>
    <cfRule type="cellIs" dxfId="185" priority="236" operator="equal">
      <formula>"Moderado"</formula>
    </cfRule>
    <cfRule type="cellIs" dxfId="184" priority="237" operator="equal">
      <formula>"Menor"</formula>
    </cfRule>
    <cfRule type="cellIs" dxfId="183" priority="238" operator="equal">
      <formula>"Leve"</formula>
    </cfRule>
  </conditionalFormatting>
  <conditionalFormatting sqref="AC30:AC33">
    <cfRule type="cellIs" dxfId="182" priority="230" operator="equal">
      <formula>"Extremo"</formula>
    </cfRule>
    <cfRule type="cellIs" dxfId="181" priority="231" operator="equal">
      <formula>"Alto"</formula>
    </cfRule>
    <cfRule type="cellIs" dxfId="180" priority="232" operator="equal">
      <formula>"Moderado"</formula>
    </cfRule>
    <cfRule type="cellIs" dxfId="179" priority="233" operator="equal">
      <formula>"Bajo"</formula>
    </cfRule>
  </conditionalFormatting>
  <conditionalFormatting sqref="N34">
    <cfRule type="cellIs" dxfId="178" priority="216" operator="equal">
      <formula>"Extremo"</formula>
    </cfRule>
    <cfRule type="cellIs" dxfId="177" priority="217" operator="equal">
      <formula>"Alto"</formula>
    </cfRule>
    <cfRule type="cellIs" dxfId="176" priority="218" operator="equal">
      <formula>"Moderado"</formula>
    </cfRule>
    <cfRule type="cellIs" dxfId="175" priority="219" operator="equal">
      <formula>"Bajo"</formula>
    </cfRule>
  </conditionalFormatting>
  <conditionalFormatting sqref="Y34:Y39">
    <cfRule type="cellIs" dxfId="174" priority="211" operator="equal">
      <formula>"Muy Alta"</formula>
    </cfRule>
    <cfRule type="cellIs" dxfId="173" priority="212" operator="equal">
      <formula>"Alta"</formula>
    </cfRule>
    <cfRule type="cellIs" dxfId="172" priority="213" operator="equal">
      <formula>"Media"</formula>
    </cfRule>
    <cfRule type="cellIs" dxfId="171" priority="214" operator="equal">
      <formula>"Baja"</formula>
    </cfRule>
    <cfRule type="cellIs" dxfId="170" priority="215" operator="equal">
      <formula>"Muy Baja"</formula>
    </cfRule>
  </conditionalFormatting>
  <conditionalFormatting sqref="AA34:AA39">
    <cfRule type="cellIs" dxfId="169" priority="206" operator="equal">
      <formula>"Catastrófico"</formula>
    </cfRule>
    <cfRule type="cellIs" dxfId="168" priority="207" operator="equal">
      <formula>"Mayor"</formula>
    </cfRule>
    <cfRule type="cellIs" dxfId="167" priority="208" operator="equal">
      <formula>"Moderado"</formula>
    </cfRule>
    <cfRule type="cellIs" dxfId="166" priority="209" operator="equal">
      <formula>"Menor"</formula>
    </cfRule>
    <cfRule type="cellIs" dxfId="165" priority="210" operator="equal">
      <formula>"Leve"</formula>
    </cfRule>
  </conditionalFormatting>
  <conditionalFormatting sqref="AC34:AC39">
    <cfRule type="cellIs" dxfId="164" priority="202" operator="equal">
      <formula>"Extremo"</formula>
    </cfRule>
    <cfRule type="cellIs" dxfId="163" priority="203" operator="equal">
      <formula>"Alto"</formula>
    </cfRule>
    <cfRule type="cellIs" dxfId="162" priority="204" operator="equal">
      <formula>"Moderado"</formula>
    </cfRule>
    <cfRule type="cellIs" dxfId="161" priority="205" operator="equal">
      <formula>"Bajo"</formula>
    </cfRule>
  </conditionalFormatting>
  <conditionalFormatting sqref="N40">
    <cfRule type="cellIs" dxfId="160" priority="188" operator="equal">
      <formula>"Extremo"</formula>
    </cfRule>
    <cfRule type="cellIs" dxfId="159" priority="189" operator="equal">
      <formula>"Alto"</formula>
    </cfRule>
    <cfRule type="cellIs" dxfId="158" priority="190" operator="equal">
      <formula>"Moderado"</formula>
    </cfRule>
    <cfRule type="cellIs" dxfId="157" priority="191" operator="equal">
      <formula>"Bajo"</formula>
    </cfRule>
  </conditionalFormatting>
  <conditionalFormatting sqref="Y40:Y45">
    <cfRule type="cellIs" dxfId="156" priority="183" operator="equal">
      <formula>"Muy Alta"</formula>
    </cfRule>
    <cfRule type="cellIs" dxfId="155" priority="184" operator="equal">
      <formula>"Alta"</formula>
    </cfRule>
    <cfRule type="cellIs" dxfId="154" priority="185" operator="equal">
      <formula>"Media"</formula>
    </cfRule>
    <cfRule type="cellIs" dxfId="153" priority="186" operator="equal">
      <formula>"Baja"</formula>
    </cfRule>
    <cfRule type="cellIs" dxfId="152" priority="187" operator="equal">
      <formula>"Muy Baja"</formula>
    </cfRule>
  </conditionalFormatting>
  <conditionalFormatting sqref="AA40:AA45">
    <cfRule type="cellIs" dxfId="151" priority="178" operator="equal">
      <formula>"Catastrófico"</formula>
    </cfRule>
    <cfRule type="cellIs" dxfId="150" priority="179" operator="equal">
      <formula>"Mayor"</formula>
    </cfRule>
    <cfRule type="cellIs" dxfId="149" priority="180" operator="equal">
      <formula>"Moderado"</formula>
    </cfRule>
    <cfRule type="cellIs" dxfId="148" priority="181" operator="equal">
      <formula>"Menor"</formula>
    </cfRule>
    <cfRule type="cellIs" dxfId="147" priority="182" operator="equal">
      <formula>"Leve"</formula>
    </cfRule>
  </conditionalFormatting>
  <conditionalFormatting sqref="AC40:AC45">
    <cfRule type="cellIs" dxfId="146" priority="174" operator="equal">
      <formula>"Extremo"</formula>
    </cfRule>
    <cfRule type="cellIs" dxfId="145" priority="175" operator="equal">
      <formula>"Alto"</formula>
    </cfRule>
    <cfRule type="cellIs" dxfId="144" priority="176" operator="equal">
      <formula>"Moderado"</formula>
    </cfRule>
    <cfRule type="cellIs" dxfId="143" priority="177" operator="equal">
      <formula>"Bajo"</formula>
    </cfRule>
  </conditionalFormatting>
  <conditionalFormatting sqref="N46">
    <cfRule type="cellIs" dxfId="142" priority="160" operator="equal">
      <formula>"Extremo"</formula>
    </cfRule>
    <cfRule type="cellIs" dxfId="141" priority="161" operator="equal">
      <formula>"Alto"</formula>
    </cfRule>
    <cfRule type="cellIs" dxfId="140" priority="162" operator="equal">
      <formula>"Moderado"</formula>
    </cfRule>
    <cfRule type="cellIs" dxfId="139" priority="163" operator="equal">
      <formula>"Bajo"</formula>
    </cfRule>
  </conditionalFormatting>
  <conditionalFormatting sqref="Y46:Y51">
    <cfRule type="cellIs" dxfId="138" priority="155" operator="equal">
      <formula>"Muy Alta"</formula>
    </cfRule>
    <cfRule type="cellIs" dxfId="137" priority="156" operator="equal">
      <formula>"Alta"</formula>
    </cfRule>
    <cfRule type="cellIs" dxfId="136" priority="157" operator="equal">
      <formula>"Media"</formula>
    </cfRule>
    <cfRule type="cellIs" dxfId="135" priority="158" operator="equal">
      <formula>"Baja"</formula>
    </cfRule>
    <cfRule type="cellIs" dxfId="134" priority="159" operator="equal">
      <formula>"Muy Baja"</formula>
    </cfRule>
  </conditionalFormatting>
  <conditionalFormatting sqref="AA46:AA51">
    <cfRule type="cellIs" dxfId="133" priority="150" operator="equal">
      <formula>"Catastrófico"</formula>
    </cfRule>
    <cfRule type="cellIs" dxfId="132" priority="151" operator="equal">
      <formula>"Mayor"</formula>
    </cfRule>
    <cfRule type="cellIs" dxfId="131" priority="152" operator="equal">
      <formula>"Moderado"</formula>
    </cfRule>
    <cfRule type="cellIs" dxfId="130" priority="153" operator="equal">
      <formula>"Menor"</formula>
    </cfRule>
    <cfRule type="cellIs" dxfId="129" priority="154" operator="equal">
      <formula>"Leve"</formula>
    </cfRule>
  </conditionalFormatting>
  <conditionalFormatting sqref="AC46:AC51">
    <cfRule type="cellIs" dxfId="128" priority="146" operator="equal">
      <formula>"Extremo"</formula>
    </cfRule>
    <cfRule type="cellIs" dxfId="127" priority="147" operator="equal">
      <formula>"Alto"</formula>
    </cfRule>
    <cfRule type="cellIs" dxfId="126" priority="148" operator="equal">
      <formula>"Moderado"</formula>
    </cfRule>
    <cfRule type="cellIs" dxfId="125" priority="149" operator="equal">
      <formula>"Bajo"</formula>
    </cfRule>
  </conditionalFormatting>
  <conditionalFormatting sqref="N52">
    <cfRule type="cellIs" dxfId="124" priority="132" operator="equal">
      <formula>"Extremo"</formula>
    </cfRule>
    <cfRule type="cellIs" dxfId="123" priority="133" operator="equal">
      <formula>"Alto"</formula>
    </cfRule>
    <cfRule type="cellIs" dxfId="122" priority="134" operator="equal">
      <formula>"Moderado"</formula>
    </cfRule>
    <cfRule type="cellIs" dxfId="121" priority="135" operator="equal">
      <formula>"Bajo"</formula>
    </cfRule>
  </conditionalFormatting>
  <conditionalFormatting sqref="Y52:Y57">
    <cfRule type="cellIs" dxfId="120" priority="127" operator="equal">
      <formula>"Muy Alta"</formula>
    </cfRule>
    <cfRule type="cellIs" dxfId="119" priority="128" operator="equal">
      <formula>"Alta"</formula>
    </cfRule>
    <cfRule type="cellIs" dxfId="118" priority="129" operator="equal">
      <formula>"Media"</formula>
    </cfRule>
    <cfRule type="cellIs" dxfId="117" priority="130" operator="equal">
      <formula>"Baja"</formula>
    </cfRule>
    <cfRule type="cellIs" dxfId="116" priority="131" operator="equal">
      <formula>"Muy Baja"</formula>
    </cfRule>
  </conditionalFormatting>
  <conditionalFormatting sqref="AA52:AA57">
    <cfRule type="cellIs" dxfId="115" priority="122" operator="equal">
      <formula>"Catastrófico"</formula>
    </cfRule>
    <cfRule type="cellIs" dxfId="114" priority="123" operator="equal">
      <formula>"Mayor"</formula>
    </cfRule>
    <cfRule type="cellIs" dxfId="113" priority="124" operator="equal">
      <formula>"Moderado"</formula>
    </cfRule>
    <cfRule type="cellIs" dxfId="112" priority="125" operator="equal">
      <formula>"Menor"</formula>
    </cfRule>
    <cfRule type="cellIs" dxfId="111" priority="126" operator="equal">
      <formula>"Leve"</formula>
    </cfRule>
  </conditionalFormatting>
  <conditionalFormatting sqref="AC52:AC57">
    <cfRule type="cellIs" dxfId="110" priority="118" operator="equal">
      <formula>"Extremo"</formula>
    </cfRule>
    <cfRule type="cellIs" dxfId="109" priority="119" operator="equal">
      <formula>"Alto"</formula>
    </cfRule>
    <cfRule type="cellIs" dxfId="108" priority="120" operator="equal">
      <formula>"Moderado"</formula>
    </cfRule>
    <cfRule type="cellIs" dxfId="107" priority="121" operator="equal">
      <formula>"Bajo"</formula>
    </cfRule>
  </conditionalFormatting>
  <conditionalFormatting sqref="K10:K21 K28:K57">
    <cfRule type="containsText" dxfId="106" priority="117" operator="containsText" text="❌">
      <formula>NOT(ISERROR(SEARCH("❌",K10)))</formula>
    </cfRule>
  </conditionalFormatting>
  <conditionalFormatting sqref="H10">
    <cfRule type="cellIs" dxfId="105" priority="107" operator="equal">
      <formula>"Muy Alta"</formula>
    </cfRule>
    <cfRule type="cellIs" dxfId="104" priority="108" operator="equal">
      <formula>"Alta"</formula>
    </cfRule>
    <cfRule type="cellIs" dxfId="103" priority="109" operator="equal">
      <formula>"Media"</formula>
    </cfRule>
    <cfRule type="cellIs" dxfId="102" priority="110" operator="equal">
      <formula>"Baja"</formula>
    </cfRule>
    <cfRule type="cellIs" dxfId="101" priority="111" operator="equal">
      <formula>"Muy Baja"</formula>
    </cfRule>
  </conditionalFormatting>
  <conditionalFormatting sqref="H16">
    <cfRule type="cellIs" dxfId="100" priority="97" operator="equal">
      <formula>"Muy Alta"</formula>
    </cfRule>
    <cfRule type="cellIs" dxfId="99" priority="98" operator="equal">
      <formula>"Alta"</formula>
    </cfRule>
    <cfRule type="cellIs" dxfId="98" priority="99" operator="equal">
      <formula>"Media"</formula>
    </cfRule>
    <cfRule type="cellIs" dxfId="97" priority="100" operator="equal">
      <formula>"Baja"</formula>
    </cfRule>
    <cfRule type="cellIs" dxfId="96" priority="101" operator="equal">
      <formula>"Muy Baja"</formula>
    </cfRule>
  </conditionalFormatting>
  <conditionalFormatting sqref="H28">
    <cfRule type="cellIs" dxfId="95" priority="92" operator="equal">
      <formula>"Muy Alta"</formula>
    </cfRule>
    <cfRule type="cellIs" dxfId="94" priority="93" operator="equal">
      <formula>"Alta"</formula>
    </cfRule>
    <cfRule type="cellIs" dxfId="93" priority="94" operator="equal">
      <formula>"Media"</formula>
    </cfRule>
    <cfRule type="cellIs" dxfId="92" priority="95" operator="equal">
      <formula>"Baja"</formula>
    </cfRule>
    <cfRule type="cellIs" dxfId="91" priority="96" operator="equal">
      <formula>"Muy Baja"</formula>
    </cfRule>
  </conditionalFormatting>
  <conditionalFormatting sqref="H34">
    <cfRule type="cellIs" dxfId="90" priority="87" operator="equal">
      <formula>"Muy Alta"</formula>
    </cfRule>
    <cfRule type="cellIs" dxfId="89" priority="88" operator="equal">
      <formula>"Alta"</formula>
    </cfRule>
    <cfRule type="cellIs" dxfId="88" priority="89" operator="equal">
      <formula>"Media"</formula>
    </cfRule>
    <cfRule type="cellIs" dxfId="87" priority="90" operator="equal">
      <formula>"Baja"</formula>
    </cfRule>
    <cfRule type="cellIs" dxfId="86" priority="91" operator="equal">
      <formula>"Muy Baja"</formula>
    </cfRule>
  </conditionalFormatting>
  <conditionalFormatting sqref="H40">
    <cfRule type="cellIs" dxfId="85" priority="82" operator="equal">
      <formula>"Muy Alta"</formula>
    </cfRule>
    <cfRule type="cellIs" dxfId="84" priority="83" operator="equal">
      <formula>"Alta"</formula>
    </cfRule>
    <cfRule type="cellIs" dxfId="83" priority="84" operator="equal">
      <formula>"Media"</formula>
    </cfRule>
    <cfRule type="cellIs" dxfId="82" priority="85" operator="equal">
      <formula>"Baja"</formula>
    </cfRule>
    <cfRule type="cellIs" dxfId="81" priority="86" operator="equal">
      <formula>"Muy Baja"</formula>
    </cfRule>
  </conditionalFormatting>
  <conditionalFormatting sqref="H46">
    <cfRule type="cellIs" dxfId="80" priority="77" operator="equal">
      <formula>"Muy Alta"</formula>
    </cfRule>
    <cfRule type="cellIs" dxfId="79" priority="78" operator="equal">
      <formula>"Alta"</formula>
    </cfRule>
    <cfRule type="cellIs" dxfId="78" priority="79" operator="equal">
      <formula>"Media"</formula>
    </cfRule>
    <cfRule type="cellIs" dxfId="77" priority="80" operator="equal">
      <formula>"Baja"</formula>
    </cfRule>
    <cfRule type="cellIs" dxfId="76" priority="81" operator="equal">
      <formula>"Muy Baja"</formula>
    </cfRule>
  </conditionalFormatting>
  <conditionalFormatting sqref="H52">
    <cfRule type="cellIs" dxfId="75" priority="72" operator="equal">
      <formula>"Muy Alta"</formula>
    </cfRule>
    <cfRule type="cellIs" dxfId="74" priority="73" operator="equal">
      <formula>"Alta"</formula>
    </cfRule>
    <cfRule type="cellIs" dxfId="73" priority="74" operator="equal">
      <formula>"Media"</formula>
    </cfRule>
    <cfRule type="cellIs" dxfId="72" priority="75" operator="equal">
      <formula>"Baja"</formula>
    </cfRule>
    <cfRule type="cellIs" dxfId="71" priority="76" operator="equal">
      <formula>"Muy Baja"</formula>
    </cfRule>
  </conditionalFormatting>
  <conditionalFormatting sqref="L22">
    <cfRule type="cellIs" dxfId="70" priority="67" operator="equal">
      <formula>"Catastrófico"</formula>
    </cfRule>
    <cfRule type="cellIs" dxfId="69" priority="68" operator="equal">
      <formula>"Mayor"</formula>
    </cfRule>
    <cfRule type="cellIs" dxfId="68" priority="69" operator="equal">
      <formula>"Moderado"</formula>
    </cfRule>
    <cfRule type="cellIs" dxfId="67" priority="70" operator="equal">
      <formula>"Menor"</formula>
    </cfRule>
    <cfRule type="cellIs" dxfId="66" priority="71" operator="equal">
      <formula>"Leve"</formula>
    </cfRule>
  </conditionalFormatting>
  <conditionalFormatting sqref="N22">
    <cfRule type="cellIs" dxfId="65" priority="63" operator="equal">
      <formula>"Extremo"</formula>
    </cfRule>
    <cfRule type="cellIs" dxfId="64" priority="64" operator="equal">
      <formula>"Alto"</formula>
    </cfRule>
    <cfRule type="cellIs" dxfId="63" priority="65" operator="equal">
      <formula>"Moderado"</formula>
    </cfRule>
    <cfRule type="cellIs" dxfId="62" priority="66" operator="equal">
      <formula>"Bajo"</formula>
    </cfRule>
  </conditionalFormatting>
  <conditionalFormatting sqref="Y23:Y27">
    <cfRule type="cellIs" dxfId="61" priority="58" operator="equal">
      <formula>"Muy Alta"</formula>
    </cfRule>
    <cfRule type="cellIs" dxfId="60" priority="59" operator="equal">
      <formula>"Alta"</formula>
    </cfRule>
    <cfRule type="cellIs" dxfId="59" priority="60" operator="equal">
      <formula>"Media"</formula>
    </cfRule>
    <cfRule type="cellIs" dxfId="58" priority="61" operator="equal">
      <formula>"Baja"</formula>
    </cfRule>
    <cfRule type="cellIs" dxfId="57" priority="62" operator="equal">
      <formula>"Muy Baja"</formula>
    </cfRule>
  </conditionalFormatting>
  <conditionalFormatting sqref="AA23:AA27">
    <cfRule type="cellIs" dxfId="56" priority="53" operator="equal">
      <formula>"Catastrófico"</formula>
    </cfRule>
    <cfRule type="cellIs" dxfId="55" priority="54" operator="equal">
      <formula>"Mayor"</formula>
    </cfRule>
    <cfRule type="cellIs" dxfId="54" priority="55" operator="equal">
      <formula>"Moderado"</formula>
    </cfRule>
    <cfRule type="cellIs" dxfId="53" priority="56" operator="equal">
      <formula>"Menor"</formula>
    </cfRule>
    <cfRule type="cellIs" dxfId="52" priority="57" operator="equal">
      <formula>"Leve"</formula>
    </cfRule>
  </conditionalFormatting>
  <conditionalFormatting sqref="AC23:AC27">
    <cfRule type="cellIs" dxfId="51" priority="49" operator="equal">
      <formula>"Extremo"</formula>
    </cfRule>
    <cfRule type="cellIs" dxfId="50" priority="50" operator="equal">
      <formula>"Alto"</formula>
    </cfRule>
    <cfRule type="cellIs" dxfId="49" priority="51" operator="equal">
      <formula>"Moderado"</formula>
    </cfRule>
    <cfRule type="cellIs" dxfId="48" priority="52" operator="equal">
      <formula>"Bajo"</formula>
    </cfRule>
  </conditionalFormatting>
  <conditionalFormatting sqref="K22:K27">
    <cfRule type="containsText" dxfId="47" priority="48" operator="containsText" text="❌">
      <formula>NOT(ISERROR(SEARCH("❌",K22)))</formula>
    </cfRule>
  </conditionalFormatting>
  <conditionalFormatting sqref="H22">
    <cfRule type="cellIs" dxfId="46" priority="43" operator="equal">
      <formula>"Muy Alta"</formula>
    </cfRule>
    <cfRule type="cellIs" dxfId="45" priority="44" operator="equal">
      <formula>"Alta"</formula>
    </cfRule>
    <cfRule type="cellIs" dxfId="44" priority="45" operator="equal">
      <formula>"Media"</formula>
    </cfRule>
    <cfRule type="cellIs" dxfId="43" priority="46" operator="equal">
      <formula>"Baja"</formula>
    </cfRule>
    <cfRule type="cellIs" dxfId="42" priority="47" operator="equal">
      <formula>"Muy Baja"</formula>
    </cfRule>
  </conditionalFormatting>
  <conditionalFormatting sqref="Y22">
    <cfRule type="cellIs" dxfId="27" priority="24" operator="equal">
      <formula>"Muy Alta"</formula>
    </cfRule>
    <cfRule type="cellIs" dxfId="26" priority="25" operator="equal">
      <formula>"Alta"</formula>
    </cfRule>
    <cfRule type="cellIs" dxfId="25" priority="26" operator="equal">
      <formula>"Media"</formula>
    </cfRule>
    <cfRule type="cellIs" dxfId="24" priority="27" operator="equal">
      <formula>"Baja"</formula>
    </cfRule>
    <cfRule type="cellIs" dxfId="23" priority="28" operator="equal">
      <formula>"Muy Baja"</formula>
    </cfRule>
  </conditionalFormatting>
  <conditionalFormatting sqref="AA22">
    <cfRule type="cellIs" dxfId="22" priority="19" operator="equal">
      <formula>"Catastrófico"</formula>
    </cfRule>
    <cfRule type="cellIs" dxfId="21" priority="20" operator="equal">
      <formula>"Mayor"</formula>
    </cfRule>
    <cfRule type="cellIs" dxfId="20" priority="21" operator="equal">
      <formula>"Moderado"</formula>
    </cfRule>
    <cfRule type="cellIs" dxfId="19" priority="22" operator="equal">
      <formula>"Menor"</formula>
    </cfRule>
    <cfRule type="cellIs" dxfId="18" priority="23" operator="equal">
      <formula>"Leve"</formula>
    </cfRule>
  </conditionalFormatting>
  <conditionalFormatting sqref="AC22">
    <cfRule type="cellIs" dxfId="17" priority="15" operator="equal">
      <formula>"Extremo"</formula>
    </cfRule>
    <cfRule type="cellIs" dxfId="16" priority="16" operator="equal">
      <formula>"Alto"</formula>
    </cfRule>
    <cfRule type="cellIs" dxfId="15" priority="17" operator="equal">
      <formula>"Moderado"</formula>
    </cfRule>
    <cfRule type="cellIs" dxfId="14" priority="18" operator="equal">
      <formula>"Bajo"</formula>
    </cfRule>
  </conditionalFormatting>
  <conditionalFormatting sqref="Y28:Y29">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A28:AA29">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C28:AC29">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AJ10:AJ11 AJ13:AJ14 AJ16:AJ17 AJ19:AJ20 AJ28:AJ29 AJ31:AJ32 AJ34:AJ35 AJ37:AJ38 AJ40:AJ41 AJ43:AJ44 AJ46:AJ47 AJ49:AJ50 AJ52:AJ53 AJ55:AJ56 AJ22:AJ23 AJ25:AJ26</xm:sqref>
        </x14:dataValidation>
        <x14:dataValidation type="list" allowBlank="1" showInputMessage="1" showErrorMessage="1" xr:uid="{00000000-0002-0000-0100-000001000000}">
          <x14:formula1>
            <xm:f>'Tabla Valoración controles'!$D$4:$D$6</xm:f>
          </x14:formula1>
          <xm:sqref>R10:R57</xm:sqref>
        </x14:dataValidation>
        <x14:dataValidation type="list" allowBlank="1" showInputMessage="1" showErrorMessage="1" xr:uid="{00000000-0002-0000-0100-000002000000}">
          <x14:formula1>
            <xm:f>'Tabla Valoración controles'!$D$7:$D$8</xm:f>
          </x14:formula1>
          <xm:sqref>S10:S57</xm:sqref>
        </x14:dataValidation>
        <x14:dataValidation type="list" allowBlank="1" showInputMessage="1" showErrorMessage="1" xr:uid="{00000000-0002-0000-0100-000003000000}">
          <x14:formula1>
            <xm:f>'Tabla Valoración controles'!$D$9:$D$10</xm:f>
          </x14:formula1>
          <xm:sqref>U10:U57</xm:sqref>
        </x14:dataValidation>
        <x14:dataValidation type="list" allowBlank="1" showInputMessage="1" showErrorMessage="1" xr:uid="{00000000-0002-0000-0100-000004000000}">
          <x14:formula1>
            <xm:f>'Tabla Valoración controles'!$D$11:$D$12</xm:f>
          </x14:formula1>
          <xm:sqref>V10:V57</xm:sqref>
        </x14:dataValidation>
        <x14:dataValidation type="list" allowBlank="1" showInputMessage="1" showErrorMessage="1" xr:uid="{00000000-0002-0000-0100-000005000000}">
          <x14:formula1>
            <xm:f>'Tabla Valoración controles'!$D$13:$D$14</xm:f>
          </x14:formula1>
          <xm:sqref>W10:W57</xm:sqref>
        </x14:dataValidation>
        <x14:dataValidation type="list" allowBlank="1" showInputMessage="1" showErrorMessage="1" xr:uid="{00000000-0002-0000-0100-000006000000}">
          <x14:formula1>
            <xm:f>'Opciones Tratamiento'!$B$13:$B$19</xm:f>
          </x14:formula1>
          <xm:sqref>F10:F57</xm:sqref>
        </x14:dataValidation>
        <x14:dataValidation type="list" allowBlank="1" showInputMessage="1" showErrorMessage="1" xr:uid="{00000000-0002-0000-0100-000007000000}">
          <x14:formula1>
            <xm:f>'Opciones Tratamiento'!$E$2:$E$4</xm:f>
          </x14:formula1>
          <xm:sqref>B10:B57</xm:sqref>
        </x14:dataValidation>
        <x14:dataValidation type="list" allowBlank="1" showInputMessage="1" showErrorMessage="1" xr:uid="{00000000-0002-0000-0100-000008000000}">
          <x14:formula1>
            <xm:f>'Opciones Tratamiento'!$B$2:$B$5</xm:f>
          </x14:formula1>
          <xm:sqref>AD10:AD57</xm:sqref>
        </x14:dataValidation>
        <x14:dataValidation type="list" allowBlank="1" showInputMessage="1" showErrorMessage="1" xr:uid="{00000000-0002-0000-0100-000009000000}">
          <x14:formula1>
            <xm:f>'Tabla Impacto'!$F$210:$F$221</xm:f>
          </x14:formula1>
          <xm:sqref>J10:J57</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AE10:AE57</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AF10:AF57</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AG10:AG57</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AH10:AH57</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J6" sqref="J6:K7"/>
    </sheetView>
  </sheetViews>
  <sheetFormatPr baseColWidth="10" defaultRowHeight="15" x14ac:dyDescent="0.25"/>
  <cols>
    <col min="2" max="39" width="5.7109375" customWidth="1"/>
    <col min="41" max="46" width="5.7109375" customWidth="1"/>
  </cols>
  <sheetData>
    <row r="1" spans="1:99"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row>
    <row r="2" spans="1:99" ht="18" customHeight="1" x14ac:dyDescent="0.25">
      <c r="A2" s="74"/>
      <c r="B2" s="322" t="s">
        <v>159</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row>
    <row r="3" spans="1:99" ht="18.75" customHeight="1" x14ac:dyDescent="0.25">
      <c r="A3" s="74"/>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row>
    <row r="4" spans="1:99" ht="15" customHeight="1" x14ac:dyDescent="0.25">
      <c r="A4" s="74"/>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row>
    <row r="5" spans="1:99"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row>
    <row r="6" spans="1:99" ht="15" customHeight="1" x14ac:dyDescent="0.25">
      <c r="A6" s="74"/>
      <c r="B6" s="237" t="s">
        <v>4</v>
      </c>
      <c r="C6" s="237"/>
      <c r="D6" s="238"/>
      <c r="E6" s="275" t="s">
        <v>114</v>
      </c>
      <c r="F6" s="276"/>
      <c r="G6" s="276"/>
      <c r="H6" s="276"/>
      <c r="I6" s="277"/>
      <c r="J6" s="286" t="e">
        <f>IF(AND('Mapa final'!#REF!="Muy Alta",'Mapa final'!#REF!="Leve"),CONCATENATE("R",'Mapa final'!#REF!),"")</f>
        <v>#REF!</v>
      </c>
      <c r="K6" s="287"/>
      <c r="L6" s="287" t="e">
        <f>IF(AND('Mapa final'!#REF!="Muy Alta",'Mapa final'!#REF!="Leve"),CONCATENATE("R",'Mapa final'!#REF!),"")</f>
        <v>#REF!</v>
      </c>
      <c r="M6" s="287"/>
      <c r="N6" s="287" t="str">
        <f ca="1">IF(AND('Mapa final'!$H$10="Muy Alta",'Mapa final'!$L$10="Leve"),CONCATENATE("R",'Mapa final'!$A$10),"")</f>
        <v/>
      </c>
      <c r="O6" s="289"/>
      <c r="P6" s="286" t="e">
        <f>IF(AND('Mapa final'!#REF!="Muy Alta",'Mapa final'!#REF!="Menor"),CONCATENATE("R",'Mapa final'!#REF!),"")</f>
        <v>#REF!</v>
      </c>
      <c r="Q6" s="287"/>
      <c r="R6" s="287" t="e">
        <f>IF(AND('Mapa final'!#REF!="Muy Alta",'Mapa final'!#REF!="Menor"),CONCATENATE("R",'Mapa final'!#REF!),"")</f>
        <v>#REF!</v>
      </c>
      <c r="S6" s="287"/>
      <c r="T6" s="287" t="str">
        <f ca="1">IF(AND('Mapa final'!$H$10="Muy Alta",'Mapa final'!$L$10="Menor"),CONCATENATE("R",'Mapa final'!$A$10),"")</f>
        <v/>
      </c>
      <c r="U6" s="289"/>
      <c r="V6" s="286" t="e">
        <f>IF(AND('Mapa final'!#REF!="Muy Alta",'Mapa final'!#REF!="Moderado"),CONCATENATE("R",'Mapa final'!#REF!),"")</f>
        <v>#REF!</v>
      </c>
      <c r="W6" s="287"/>
      <c r="X6" s="287" t="e">
        <f>IF(AND('Mapa final'!#REF!="Muy Alta",'Mapa final'!#REF!="Moderado"),CONCATENATE("R",'Mapa final'!#REF!),"")</f>
        <v>#REF!</v>
      </c>
      <c r="Y6" s="287"/>
      <c r="Z6" s="287" t="str">
        <f ca="1">IF(AND('Mapa final'!$H$10="Muy Alta",'Mapa final'!$L$10="Moderado"),CONCATENATE("R",'Mapa final'!$A$10),"")</f>
        <v/>
      </c>
      <c r="AA6" s="289"/>
      <c r="AB6" s="286" t="e">
        <f>IF(AND('Mapa final'!#REF!="Muy Alta",'Mapa final'!#REF!="Mayor"),CONCATENATE("R",'Mapa final'!#REF!),"")</f>
        <v>#REF!</v>
      </c>
      <c r="AC6" s="287"/>
      <c r="AD6" s="287" t="e">
        <f>IF(AND('Mapa final'!#REF!="Muy Alta",'Mapa final'!#REF!="Mayor"),CONCATENATE("R",'Mapa final'!#REF!),"")</f>
        <v>#REF!</v>
      </c>
      <c r="AE6" s="287"/>
      <c r="AF6" s="287" t="str">
        <f ca="1">IF(AND('Mapa final'!$H$10="Muy Alta",'Mapa final'!$L$10="Mayor"),CONCATENATE("R",'Mapa final'!$A$10),"")</f>
        <v/>
      </c>
      <c r="AG6" s="289"/>
      <c r="AH6" s="301" t="e">
        <f>IF(AND('Mapa final'!#REF!="Muy Alta",'Mapa final'!#REF!="Catastrófico"),CONCATENATE("R",'Mapa final'!#REF!),"")</f>
        <v>#REF!</v>
      </c>
      <c r="AI6" s="302"/>
      <c r="AJ6" s="302" t="e">
        <f>IF(AND('Mapa final'!#REF!="Muy Alta",'Mapa final'!#REF!="Catastrófico"),CONCATENATE("R",'Mapa final'!#REF!),"")</f>
        <v>#REF!</v>
      </c>
      <c r="AK6" s="302"/>
      <c r="AL6" s="302" t="str">
        <f ca="1">IF(AND('Mapa final'!$H$10="Muy Alta",'Mapa final'!$L$10="Catastrófico"),CONCATENATE("R",'Mapa final'!$A$10),"")</f>
        <v/>
      </c>
      <c r="AM6" s="303"/>
      <c r="AO6" s="239" t="s">
        <v>79</v>
      </c>
      <c r="AP6" s="240"/>
      <c r="AQ6" s="240"/>
      <c r="AR6" s="240"/>
      <c r="AS6" s="240"/>
      <c r="AT6" s="241"/>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row>
    <row r="7" spans="1:99" ht="15" customHeight="1" x14ac:dyDescent="0.25">
      <c r="A7" s="74"/>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74"/>
      <c r="AO7" s="242"/>
      <c r="AP7" s="243"/>
      <c r="AQ7" s="243"/>
      <c r="AR7" s="243"/>
      <c r="AS7" s="243"/>
      <c r="AT7" s="24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row>
    <row r="8" spans="1:99" ht="15" customHeight="1" x14ac:dyDescent="0.25">
      <c r="A8" s="74"/>
      <c r="B8" s="237"/>
      <c r="C8" s="237"/>
      <c r="D8" s="238"/>
      <c r="E8" s="278"/>
      <c r="F8" s="279"/>
      <c r="G8" s="279"/>
      <c r="H8" s="279"/>
      <c r="I8" s="280"/>
      <c r="J8" s="288" t="e">
        <f>IF(AND('Mapa final'!#REF!="Muy Alta",'Mapa final'!#REF!="Leve"),CONCATENATE("R",'Mapa final'!#REF!),"")</f>
        <v>#REF!</v>
      </c>
      <c r="K8" s="284"/>
      <c r="L8" s="284" t="str">
        <f ca="1">IF(AND('Mapa final'!$H$16="Muy Alta",'Mapa final'!$L$16="Leve"),CONCATENATE("R",'Mapa final'!$A$16),"")</f>
        <v/>
      </c>
      <c r="M8" s="284"/>
      <c r="N8" s="284" t="str">
        <f ca="1">IF(AND('Mapa final'!$H$28="Muy Alta",'Mapa final'!$L$28="Leve"),CONCATENATE("R",'Mapa final'!$A$28),"")</f>
        <v/>
      </c>
      <c r="O8" s="285"/>
      <c r="P8" s="288" t="e">
        <f>IF(AND('Mapa final'!#REF!="Muy Alta",'Mapa final'!#REF!="Menor"),CONCATENATE("R",'Mapa final'!#REF!),"")</f>
        <v>#REF!</v>
      </c>
      <c r="Q8" s="284"/>
      <c r="R8" s="284" t="str">
        <f ca="1">IF(AND('Mapa final'!$H$16="Muy Alta",'Mapa final'!$L$16="Menor"),CONCATENATE("R",'Mapa final'!$A$16),"")</f>
        <v/>
      </c>
      <c r="S8" s="284"/>
      <c r="T8" s="284" t="str">
        <f ca="1">IF(AND('Mapa final'!$H$28="Muy Alta",'Mapa final'!$L$28="Menor"),CONCATENATE("R",'Mapa final'!$A$28),"")</f>
        <v/>
      </c>
      <c r="U8" s="285"/>
      <c r="V8" s="288" t="e">
        <f>IF(AND('Mapa final'!#REF!="Muy Alta",'Mapa final'!#REF!="Moderado"),CONCATENATE("R",'Mapa final'!#REF!),"")</f>
        <v>#REF!</v>
      </c>
      <c r="W8" s="284"/>
      <c r="X8" s="284" t="str">
        <f ca="1">IF(AND('Mapa final'!$H$16="Muy Alta",'Mapa final'!$L$16="Moderado"),CONCATENATE("R",'Mapa final'!$A$16),"")</f>
        <v/>
      </c>
      <c r="Y8" s="284"/>
      <c r="Z8" s="284" t="str">
        <f ca="1">IF(AND('Mapa final'!$H$28="Muy Alta",'Mapa final'!$L$28="Moderado"),CONCATENATE("R",'Mapa final'!$A$28),"")</f>
        <v/>
      </c>
      <c r="AA8" s="285"/>
      <c r="AB8" s="288" t="e">
        <f>IF(AND('Mapa final'!#REF!="Muy Alta",'Mapa final'!#REF!="Mayor"),CONCATENATE("R",'Mapa final'!#REF!),"")</f>
        <v>#REF!</v>
      </c>
      <c r="AC8" s="284"/>
      <c r="AD8" s="284" t="str">
        <f ca="1">IF(AND('Mapa final'!$H$16="Muy Alta",'Mapa final'!$L$16="Mayor"),CONCATENATE("R",'Mapa final'!$A$16),"")</f>
        <v/>
      </c>
      <c r="AE8" s="284"/>
      <c r="AF8" s="284" t="str">
        <f ca="1">IF(AND('Mapa final'!$H$28="Muy Alta",'Mapa final'!$L$28="Mayor"),CONCATENATE("R",'Mapa final'!$A$28),"")</f>
        <v/>
      </c>
      <c r="AG8" s="285"/>
      <c r="AH8" s="295" t="e">
        <f>IF(AND('Mapa final'!#REF!="Muy Alta",'Mapa final'!#REF!="Catastrófico"),CONCATENATE("R",'Mapa final'!#REF!),"")</f>
        <v>#REF!</v>
      </c>
      <c r="AI8" s="296"/>
      <c r="AJ8" s="296" t="str">
        <f ca="1">IF(AND('Mapa final'!$H$16="Muy Alta",'Mapa final'!$L$16="Catastrófico"),CONCATENATE("R",'Mapa final'!$A$16),"")</f>
        <v/>
      </c>
      <c r="AK8" s="296"/>
      <c r="AL8" s="296" t="str">
        <f ca="1">IF(AND('Mapa final'!$H$28="Muy Alta",'Mapa final'!$L$28="Catastrófico"),CONCATENATE("R",'Mapa final'!$A$28),"")</f>
        <v/>
      </c>
      <c r="AM8" s="297"/>
      <c r="AN8" s="74"/>
      <c r="AO8" s="242"/>
      <c r="AP8" s="243"/>
      <c r="AQ8" s="243"/>
      <c r="AR8" s="243"/>
      <c r="AS8" s="243"/>
      <c r="AT8" s="24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row>
    <row r="9" spans="1:99" ht="15" customHeight="1" x14ac:dyDescent="0.25">
      <c r="A9" s="74"/>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74"/>
      <c r="AO9" s="242"/>
      <c r="AP9" s="243"/>
      <c r="AQ9" s="243"/>
      <c r="AR9" s="243"/>
      <c r="AS9" s="243"/>
      <c r="AT9" s="24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row>
    <row r="10" spans="1:99" ht="15" customHeight="1" x14ac:dyDescent="0.25">
      <c r="A10" s="74"/>
      <c r="B10" s="237"/>
      <c r="C10" s="237"/>
      <c r="D10" s="238"/>
      <c r="E10" s="278"/>
      <c r="F10" s="279"/>
      <c r="G10" s="279"/>
      <c r="H10" s="279"/>
      <c r="I10" s="280"/>
      <c r="J10" s="288" t="str">
        <f ca="1">IF(AND('Mapa final'!$H$34="Muy Alta",'Mapa final'!$L$34="Leve"),CONCATENATE("R",'Mapa final'!$A$34),"")</f>
        <v/>
      </c>
      <c r="K10" s="284"/>
      <c r="L10" s="284" t="str">
        <f ca="1">IF(AND('Mapa final'!$H$40="Muy Alta",'Mapa final'!$L$40="Leve"),CONCATENATE("R",'Mapa final'!$A$40),"")</f>
        <v/>
      </c>
      <c r="M10" s="284"/>
      <c r="N10" s="284" t="str">
        <f ca="1">IF(AND('Mapa final'!$H$46="Muy Alta",'Mapa final'!$L$46="Leve"),CONCATENATE("R",'Mapa final'!$A$46),"")</f>
        <v/>
      </c>
      <c r="O10" s="285"/>
      <c r="P10" s="288" t="str">
        <f ca="1">IF(AND('Mapa final'!$H$34="Muy Alta",'Mapa final'!$L$34="Menor"),CONCATENATE("R",'Mapa final'!$A$34),"")</f>
        <v/>
      </c>
      <c r="Q10" s="284"/>
      <c r="R10" s="284" t="str">
        <f ca="1">IF(AND('Mapa final'!$H$40="Muy Alta",'Mapa final'!$L$40="Menor"),CONCATENATE("R",'Mapa final'!$A$40),"")</f>
        <v/>
      </c>
      <c r="S10" s="284"/>
      <c r="T10" s="284" t="str">
        <f ca="1">IF(AND('Mapa final'!$H$46="Muy Alta",'Mapa final'!$L$46="Menor"),CONCATENATE("R",'Mapa final'!$A$46),"")</f>
        <v/>
      </c>
      <c r="U10" s="285"/>
      <c r="V10" s="288" t="str">
        <f ca="1">IF(AND('Mapa final'!$H$34="Muy Alta",'Mapa final'!$L$34="Moderado"),CONCATENATE("R",'Mapa final'!$A$34),"")</f>
        <v/>
      </c>
      <c r="W10" s="284"/>
      <c r="X10" s="284" t="str">
        <f ca="1">IF(AND('Mapa final'!$H$40="Muy Alta",'Mapa final'!$L$40="Moderado"),CONCATENATE("R",'Mapa final'!$A$40),"")</f>
        <v/>
      </c>
      <c r="Y10" s="284"/>
      <c r="Z10" s="284" t="str">
        <f ca="1">IF(AND('Mapa final'!$H$46="Muy Alta",'Mapa final'!$L$46="Moderado"),CONCATENATE("R",'Mapa final'!$A$46),"")</f>
        <v/>
      </c>
      <c r="AA10" s="285"/>
      <c r="AB10" s="288" t="str">
        <f ca="1">IF(AND('Mapa final'!$H$34="Muy Alta",'Mapa final'!$L$34="Mayor"),CONCATENATE("R",'Mapa final'!$A$34),"")</f>
        <v/>
      </c>
      <c r="AC10" s="284"/>
      <c r="AD10" s="284" t="str">
        <f ca="1">IF(AND('Mapa final'!$H$40="Muy Alta",'Mapa final'!$L$40="Mayor"),CONCATENATE("R",'Mapa final'!$A$40),"")</f>
        <v/>
      </c>
      <c r="AE10" s="284"/>
      <c r="AF10" s="284" t="str">
        <f ca="1">IF(AND('Mapa final'!$H$46="Muy Alta",'Mapa final'!$L$46="Mayor"),CONCATENATE("R",'Mapa final'!$A$46),"")</f>
        <v/>
      </c>
      <c r="AG10" s="285"/>
      <c r="AH10" s="295" t="str">
        <f ca="1">IF(AND('Mapa final'!$H$34="Muy Alta",'Mapa final'!$L$34="Catastrófico"),CONCATENATE("R",'Mapa final'!$A$34),"")</f>
        <v/>
      </c>
      <c r="AI10" s="296"/>
      <c r="AJ10" s="296" t="str">
        <f ca="1">IF(AND('Mapa final'!$H$40="Muy Alta",'Mapa final'!$L$40="Catastrófico"),CONCATENATE("R",'Mapa final'!$A$40),"")</f>
        <v/>
      </c>
      <c r="AK10" s="296"/>
      <c r="AL10" s="296" t="str">
        <f ca="1">IF(AND('Mapa final'!$H$46="Muy Alta",'Mapa final'!$L$46="Catastrófico"),CONCATENATE("R",'Mapa final'!$A$46),"")</f>
        <v/>
      </c>
      <c r="AM10" s="297"/>
      <c r="AN10" s="74"/>
      <c r="AO10" s="242"/>
      <c r="AP10" s="243"/>
      <c r="AQ10" s="243"/>
      <c r="AR10" s="243"/>
      <c r="AS10" s="243"/>
      <c r="AT10" s="24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row>
    <row r="11" spans="1:99" ht="15" customHeight="1" x14ac:dyDescent="0.25">
      <c r="A11" s="74"/>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74"/>
      <c r="AO11" s="242"/>
      <c r="AP11" s="243"/>
      <c r="AQ11" s="243"/>
      <c r="AR11" s="243"/>
      <c r="AS11" s="243"/>
      <c r="AT11" s="24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row>
    <row r="12" spans="1:99" ht="15" customHeight="1" x14ac:dyDescent="0.25">
      <c r="A12" s="74"/>
      <c r="B12" s="237"/>
      <c r="C12" s="237"/>
      <c r="D12" s="238"/>
      <c r="E12" s="278"/>
      <c r="F12" s="279"/>
      <c r="G12" s="279"/>
      <c r="H12" s="279"/>
      <c r="I12" s="280"/>
      <c r="J12" s="288" t="str">
        <f ca="1">IF(AND('Mapa final'!$H$52="Muy Alta",'Mapa final'!$L$52="Leve"),CONCATENATE("R",'Mapa final'!$A$52),"")</f>
        <v/>
      </c>
      <c r="K12" s="284"/>
      <c r="L12" s="284" t="str">
        <f>IF(AND('Mapa final'!$H$58="Muy Alta",'Mapa final'!$L$58="Leve"),CONCATENATE("R",'Mapa final'!$A$58),"")</f>
        <v/>
      </c>
      <c r="M12" s="284"/>
      <c r="N12" s="284" t="str">
        <f>IF(AND('Mapa final'!$H$64="Muy Alta",'Mapa final'!$L$64="Leve"),CONCATENATE("R",'Mapa final'!$A$64),"")</f>
        <v/>
      </c>
      <c r="O12" s="285"/>
      <c r="P12" s="288" t="str">
        <f ca="1">IF(AND('Mapa final'!$H$52="Muy Alta",'Mapa final'!$L$52="Menor"),CONCATENATE("R",'Mapa final'!$A$52),"")</f>
        <v/>
      </c>
      <c r="Q12" s="284"/>
      <c r="R12" s="284" t="str">
        <f>IF(AND('Mapa final'!$H$58="Muy Alta",'Mapa final'!$L$58="Menor"),CONCATENATE("R",'Mapa final'!$A$58),"")</f>
        <v/>
      </c>
      <c r="S12" s="284"/>
      <c r="T12" s="284" t="str">
        <f>IF(AND('Mapa final'!$H$64="Muy Alta",'Mapa final'!$L$64="Menor"),CONCATENATE("R",'Mapa final'!$A$64),"")</f>
        <v/>
      </c>
      <c r="U12" s="285"/>
      <c r="V12" s="288" t="str">
        <f ca="1">IF(AND('Mapa final'!$H$52="Muy Alta",'Mapa final'!$L$52="Moderado"),CONCATENATE("R",'Mapa final'!$A$52),"")</f>
        <v/>
      </c>
      <c r="W12" s="284"/>
      <c r="X12" s="284" t="str">
        <f>IF(AND('Mapa final'!$H$58="Muy Alta",'Mapa final'!$L$58="Moderado"),CONCATENATE("R",'Mapa final'!$A$58),"")</f>
        <v/>
      </c>
      <c r="Y12" s="284"/>
      <c r="Z12" s="284" t="str">
        <f>IF(AND('Mapa final'!$H$64="Muy Alta",'Mapa final'!$L$64="Moderado"),CONCATENATE("R",'Mapa final'!$A$64),"")</f>
        <v/>
      </c>
      <c r="AA12" s="285"/>
      <c r="AB12" s="288" t="str">
        <f ca="1">IF(AND('Mapa final'!$H$52="Muy Alta",'Mapa final'!$L$52="Mayor"),CONCATENATE("R",'Mapa final'!$A$52),"")</f>
        <v/>
      </c>
      <c r="AC12" s="284"/>
      <c r="AD12" s="284" t="str">
        <f>IF(AND('Mapa final'!$H$58="Muy Alta",'Mapa final'!$L$58="Mayor"),CONCATENATE("R",'Mapa final'!$A$58),"")</f>
        <v/>
      </c>
      <c r="AE12" s="284"/>
      <c r="AF12" s="284" t="str">
        <f>IF(AND('Mapa final'!$H$64="Muy Alta",'Mapa final'!$L$64="Mayor"),CONCATENATE("R",'Mapa final'!$A$64),"")</f>
        <v/>
      </c>
      <c r="AG12" s="285"/>
      <c r="AH12" s="295" t="str">
        <f ca="1">IF(AND('Mapa final'!$H$52="Muy Alta",'Mapa final'!$L$52="Catastrófico"),CONCATENATE("R",'Mapa final'!$A$52),"")</f>
        <v/>
      </c>
      <c r="AI12" s="296"/>
      <c r="AJ12" s="296" t="str">
        <f>IF(AND('Mapa final'!$H$58="Muy Alta",'Mapa final'!$L$58="Catastrófico"),CONCATENATE("R",'Mapa final'!$A$58),"")</f>
        <v/>
      </c>
      <c r="AK12" s="296"/>
      <c r="AL12" s="296" t="str">
        <f>IF(AND('Mapa final'!$H$64="Muy Alta",'Mapa final'!$L$64="Catastrófico"),CONCATENATE("R",'Mapa final'!$A$64),"")</f>
        <v/>
      </c>
      <c r="AM12" s="297"/>
      <c r="AN12" s="74"/>
      <c r="AO12" s="242"/>
      <c r="AP12" s="243"/>
      <c r="AQ12" s="243"/>
      <c r="AR12" s="243"/>
      <c r="AS12" s="243"/>
      <c r="AT12" s="24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row>
    <row r="13" spans="1:99" ht="15.75" customHeight="1" thickBot="1" x14ac:dyDescent="0.3">
      <c r="A13" s="74"/>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74"/>
      <c r="AO13" s="245"/>
      <c r="AP13" s="246"/>
      <c r="AQ13" s="246"/>
      <c r="AR13" s="246"/>
      <c r="AS13" s="246"/>
      <c r="AT13" s="247"/>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row>
    <row r="14" spans="1:99" ht="15" customHeight="1" x14ac:dyDescent="0.25">
      <c r="A14" s="74"/>
      <c r="B14" s="237"/>
      <c r="C14" s="237"/>
      <c r="D14" s="238"/>
      <c r="E14" s="275" t="s">
        <v>113</v>
      </c>
      <c r="F14" s="276"/>
      <c r="G14" s="276"/>
      <c r="H14" s="276"/>
      <c r="I14" s="276"/>
      <c r="J14" s="310" t="e">
        <f>IF(AND('Mapa final'!#REF!="Alta",'Mapa final'!#REF!="Leve"),CONCATENATE("R",'Mapa final'!#REF!),"")</f>
        <v>#REF!</v>
      </c>
      <c r="K14" s="311"/>
      <c r="L14" s="311" t="e">
        <f>IF(AND('Mapa final'!#REF!="Alta",'Mapa final'!#REF!="Leve"),CONCATENATE("R",'Mapa final'!#REF!),"")</f>
        <v>#REF!</v>
      </c>
      <c r="M14" s="311"/>
      <c r="N14" s="311" t="str">
        <f ca="1">IF(AND('Mapa final'!$H$10="Alta",'Mapa final'!$L$10="Leve"),CONCATENATE("R",'Mapa final'!$A$10),"")</f>
        <v/>
      </c>
      <c r="O14" s="312"/>
      <c r="P14" s="310" t="e">
        <f>IF(AND('Mapa final'!#REF!="Alta",'Mapa final'!#REF!="Menor"),CONCATENATE("R",'Mapa final'!#REF!),"")</f>
        <v>#REF!</v>
      </c>
      <c r="Q14" s="311"/>
      <c r="R14" s="311" t="e">
        <f>IF(AND('Mapa final'!#REF!="Alta",'Mapa final'!#REF!="Menor"),CONCATENATE("R",'Mapa final'!#REF!),"")</f>
        <v>#REF!</v>
      </c>
      <c r="S14" s="311"/>
      <c r="T14" s="311" t="str">
        <f ca="1">IF(AND('Mapa final'!$H$10="Alta",'Mapa final'!$L$10="Menor"),CONCATENATE("R",'Mapa final'!$A$10),"")</f>
        <v>R1</v>
      </c>
      <c r="U14" s="312"/>
      <c r="V14" s="286" t="e">
        <f>IF(AND('Mapa final'!#REF!="Alta",'Mapa final'!#REF!="Moderado"),CONCATENATE("R",'Mapa final'!#REF!),"")</f>
        <v>#REF!</v>
      </c>
      <c r="W14" s="287"/>
      <c r="X14" s="287" t="e">
        <f>IF(AND('Mapa final'!#REF!="Alta",'Mapa final'!#REF!="Moderado"),CONCATENATE("R",'Mapa final'!#REF!),"")</f>
        <v>#REF!</v>
      </c>
      <c r="Y14" s="287"/>
      <c r="Z14" s="287" t="str">
        <f ca="1">IF(AND('Mapa final'!$H$10="Alta",'Mapa final'!$L$10="Moderado"),CONCATENATE("R",'Mapa final'!$A$10),"")</f>
        <v/>
      </c>
      <c r="AA14" s="289"/>
      <c r="AB14" s="286" t="e">
        <f>IF(AND('Mapa final'!#REF!="Alta",'Mapa final'!#REF!="Mayor"),CONCATENATE("R",'Mapa final'!#REF!),"")</f>
        <v>#REF!</v>
      </c>
      <c r="AC14" s="287"/>
      <c r="AD14" s="287" t="e">
        <f>IF(AND('Mapa final'!#REF!="Alta",'Mapa final'!#REF!="Mayor"),CONCATENATE("R",'Mapa final'!#REF!),"")</f>
        <v>#REF!</v>
      </c>
      <c r="AE14" s="287"/>
      <c r="AF14" s="287" t="str">
        <f ca="1">IF(AND('Mapa final'!$H$10="Alta",'Mapa final'!$L$10="Mayor"),CONCATENATE("R",'Mapa final'!$A$10),"")</f>
        <v/>
      </c>
      <c r="AG14" s="289"/>
      <c r="AH14" s="301" t="e">
        <f>IF(AND('Mapa final'!#REF!="Alta",'Mapa final'!#REF!="Catastrófico"),CONCATENATE("R",'Mapa final'!#REF!),"")</f>
        <v>#REF!</v>
      </c>
      <c r="AI14" s="302"/>
      <c r="AJ14" s="302" t="e">
        <f>IF(AND('Mapa final'!#REF!="Alta",'Mapa final'!#REF!="Catastrófico"),CONCATENATE("R",'Mapa final'!#REF!),"")</f>
        <v>#REF!</v>
      </c>
      <c r="AK14" s="302"/>
      <c r="AL14" s="302" t="str">
        <f ca="1">IF(AND('Mapa final'!$H$10="Alta",'Mapa final'!$L$10="Catastrófico"),CONCATENATE("R",'Mapa final'!$A$10),"")</f>
        <v/>
      </c>
      <c r="AM14" s="303"/>
      <c r="AN14" s="74"/>
      <c r="AO14" s="248" t="s">
        <v>80</v>
      </c>
      <c r="AP14" s="249"/>
      <c r="AQ14" s="249"/>
      <c r="AR14" s="249"/>
      <c r="AS14" s="249"/>
      <c r="AT14" s="250"/>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row>
    <row r="15" spans="1:99" ht="15" customHeight="1" x14ac:dyDescent="0.25">
      <c r="A15" s="74"/>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74"/>
      <c r="AO15" s="251"/>
      <c r="AP15" s="252"/>
      <c r="AQ15" s="252"/>
      <c r="AR15" s="252"/>
      <c r="AS15" s="252"/>
      <c r="AT15" s="253"/>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row>
    <row r="16" spans="1:99" ht="15" customHeight="1" x14ac:dyDescent="0.25">
      <c r="A16" s="74"/>
      <c r="B16" s="237"/>
      <c r="C16" s="237"/>
      <c r="D16" s="238"/>
      <c r="E16" s="278"/>
      <c r="F16" s="279"/>
      <c r="G16" s="279"/>
      <c r="H16" s="279"/>
      <c r="I16" s="279"/>
      <c r="J16" s="304" t="e">
        <f>IF(AND('Mapa final'!#REF!="Alta",'Mapa final'!#REF!="Leve"),CONCATENATE("R",'Mapa final'!#REF!),"")</f>
        <v>#REF!</v>
      </c>
      <c r="K16" s="305"/>
      <c r="L16" s="305" t="str">
        <f ca="1">IF(AND('Mapa final'!$H$16="Alta",'Mapa final'!$L$16="Leve"),CONCATENATE("R",'Mapa final'!$A$16),"")</f>
        <v/>
      </c>
      <c r="M16" s="305"/>
      <c r="N16" s="305" t="str">
        <f ca="1">IF(AND('Mapa final'!$H$28="Alta",'Mapa final'!$L$28="Leve"),CONCATENATE("R",'Mapa final'!$A$28),"")</f>
        <v/>
      </c>
      <c r="O16" s="306"/>
      <c r="P16" s="304" t="e">
        <f>IF(AND('Mapa final'!#REF!="Alta",'Mapa final'!#REF!="Menor"),CONCATENATE("R",'Mapa final'!#REF!),"")</f>
        <v>#REF!</v>
      </c>
      <c r="Q16" s="305"/>
      <c r="R16" s="305" t="str">
        <f ca="1">IF(AND('Mapa final'!$H$16="Alta",'Mapa final'!$L$16="Menor"),CONCATENATE("R",'Mapa final'!$A$16),"")</f>
        <v/>
      </c>
      <c r="S16" s="305"/>
      <c r="T16" s="305" t="str">
        <f ca="1">IF(AND('Mapa final'!$H$28="Alta",'Mapa final'!$L$28="Menor"),CONCATENATE("R",'Mapa final'!$A$28),"")</f>
        <v/>
      </c>
      <c r="U16" s="306"/>
      <c r="V16" s="288" t="e">
        <f>IF(AND('Mapa final'!#REF!="Alta",'Mapa final'!#REF!="Moderado"),CONCATENATE("R",'Mapa final'!#REF!),"")</f>
        <v>#REF!</v>
      </c>
      <c r="W16" s="284"/>
      <c r="X16" s="284" t="str">
        <f ca="1">IF(AND('Mapa final'!$H$16="Alta",'Mapa final'!$L$16="Moderado"),CONCATENATE("R",'Mapa final'!$A$16),"")</f>
        <v/>
      </c>
      <c r="Y16" s="284"/>
      <c r="Z16" s="284" t="str">
        <f ca="1">IF(AND('Mapa final'!$H$28="Alta",'Mapa final'!$L$28="Moderado"),CONCATENATE("R",'Mapa final'!$A$28),"")</f>
        <v>R4</v>
      </c>
      <c r="AA16" s="285"/>
      <c r="AB16" s="288" t="e">
        <f>IF(AND('Mapa final'!#REF!="Alta",'Mapa final'!#REF!="Mayor"),CONCATENATE("R",'Mapa final'!#REF!),"")</f>
        <v>#REF!</v>
      </c>
      <c r="AC16" s="284"/>
      <c r="AD16" s="284" t="str">
        <f ca="1">IF(AND('Mapa final'!$H$16="Alta",'Mapa final'!$L$16="Mayor"),CONCATENATE("R",'Mapa final'!$A$16),"")</f>
        <v/>
      </c>
      <c r="AE16" s="284"/>
      <c r="AF16" s="284" t="str">
        <f ca="1">IF(AND('Mapa final'!$H$28="Alta",'Mapa final'!$L$28="Mayor"),CONCATENATE("R",'Mapa final'!$A$28),"")</f>
        <v/>
      </c>
      <c r="AG16" s="285"/>
      <c r="AH16" s="295" t="e">
        <f>IF(AND('Mapa final'!#REF!="Alta",'Mapa final'!#REF!="Catastrófico"),CONCATENATE("R",'Mapa final'!#REF!),"")</f>
        <v>#REF!</v>
      </c>
      <c r="AI16" s="296"/>
      <c r="AJ16" s="296" t="str">
        <f ca="1">IF(AND('Mapa final'!$H$16="Alta",'Mapa final'!$L$16="Catastrófico"),CONCATENATE("R",'Mapa final'!$A$16),"")</f>
        <v/>
      </c>
      <c r="AK16" s="296"/>
      <c r="AL16" s="296" t="str">
        <f ca="1">IF(AND('Mapa final'!$H$28="Alta",'Mapa final'!$L$28="Catastrófico"),CONCATENATE("R",'Mapa final'!$A$28),"")</f>
        <v/>
      </c>
      <c r="AM16" s="297"/>
      <c r="AN16" s="74"/>
      <c r="AO16" s="251"/>
      <c r="AP16" s="252"/>
      <c r="AQ16" s="252"/>
      <c r="AR16" s="252"/>
      <c r="AS16" s="252"/>
      <c r="AT16" s="253"/>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row>
    <row r="17" spans="1:80" ht="15" customHeight="1" x14ac:dyDescent="0.25">
      <c r="A17" s="74"/>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74"/>
      <c r="AO17" s="251"/>
      <c r="AP17" s="252"/>
      <c r="AQ17" s="252"/>
      <c r="AR17" s="252"/>
      <c r="AS17" s="252"/>
      <c r="AT17" s="253"/>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row>
    <row r="18" spans="1:80" ht="15" customHeight="1" x14ac:dyDescent="0.25">
      <c r="A18" s="74"/>
      <c r="B18" s="237"/>
      <c r="C18" s="237"/>
      <c r="D18" s="238"/>
      <c r="E18" s="278"/>
      <c r="F18" s="279"/>
      <c r="G18" s="279"/>
      <c r="H18" s="279"/>
      <c r="I18" s="279"/>
      <c r="J18" s="304" t="str">
        <f ca="1">IF(AND('Mapa final'!$H$34="Alta",'Mapa final'!$L$34="Leve"),CONCATENATE("R",'Mapa final'!$A$34),"")</f>
        <v/>
      </c>
      <c r="K18" s="305"/>
      <c r="L18" s="305" t="str">
        <f ca="1">IF(AND('Mapa final'!$H$40="Alta",'Mapa final'!$L$40="Leve"),CONCATENATE("R",'Mapa final'!$A$40),"")</f>
        <v/>
      </c>
      <c r="M18" s="305"/>
      <c r="N18" s="305" t="str">
        <f ca="1">IF(AND('Mapa final'!$H$46="Alta",'Mapa final'!$L$46="Leve"),CONCATENATE("R",'Mapa final'!$A$46),"")</f>
        <v/>
      </c>
      <c r="O18" s="306"/>
      <c r="P18" s="304" t="str">
        <f ca="1">IF(AND('Mapa final'!$H$34="Alta",'Mapa final'!$L$34="Menor"),CONCATENATE("R",'Mapa final'!$A$34),"")</f>
        <v/>
      </c>
      <c r="Q18" s="305"/>
      <c r="R18" s="305" t="str">
        <f ca="1">IF(AND('Mapa final'!$H$40="Alta",'Mapa final'!$L$40="Menor"),CONCATENATE("R",'Mapa final'!$A$40),"")</f>
        <v/>
      </c>
      <c r="S18" s="305"/>
      <c r="T18" s="305" t="str">
        <f ca="1">IF(AND('Mapa final'!$H$46="Alta",'Mapa final'!$L$46="Menor"),CONCATENATE("R",'Mapa final'!$A$46),"")</f>
        <v/>
      </c>
      <c r="U18" s="306"/>
      <c r="V18" s="288" t="str">
        <f ca="1">IF(AND('Mapa final'!$H$34="Alta",'Mapa final'!$L$34="Moderado"),CONCATENATE("R",'Mapa final'!$A$34),"")</f>
        <v/>
      </c>
      <c r="W18" s="284"/>
      <c r="X18" s="284" t="str">
        <f ca="1">IF(AND('Mapa final'!$H$40="Alta",'Mapa final'!$L$40="Moderado"),CONCATENATE("R",'Mapa final'!$A$40),"")</f>
        <v/>
      </c>
      <c r="Y18" s="284"/>
      <c r="Z18" s="284" t="str">
        <f ca="1">IF(AND('Mapa final'!$H$46="Alta",'Mapa final'!$L$46="Moderado"),CONCATENATE("R",'Mapa final'!$A$46),"")</f>
        <v/>
      </c>
      <c r="AA18" s="285"/>
      <c r="AB18" s="288" t="str">
        <f ca="1">IF(AND('Mapa final'!$H$34="Alta",'Mapa final'!$L$34="Mayor"),CONCATENATE("R",'Mapa final'!$A$34),"")</f>
        <v>R5</v>
      </c>
      <c r="AC18" s="284"/>
      <c r="AD18" s="284" t="str">
        <f ca="1">IF(AND('Mapa final'!$H$40="Alta",'Mapa final'!$L$40="Mayor"),CONCATENATE("R",'Mapa final'!$A$40),"")</f>
        <v/>
      </c>
      <c r="AE18" s="284"/>
      <c r="AF18" s="284" t="str">
        <f ca="1">IF(AND('Mapa final'!$H$46="Alta",'Mapa final'!$L$46="Mayor"),CONCATENATE("R",'Mapa final'!$A$46),"")</f>
        <v/>
      </c>
      <c r="AG18" s="285"/>
      <c r="AH18" s="295" t="str">
        <f ca="1">IF(AND('Mapa final'!$H$34="Alta",'Mapa final'!$L$34="Catastrófico"),CONCATENATE("R",'Mapa final'!$A$34),"")</f>
        <v/>
      </c>
      <c r="AI18" s="296"/>
      <c r="AJ18" s="296" t="str">
        <f ca="1">IF(AND('Mapa final'!$H$40="Alta",'Mapa final'!$L$40="Catastrófico"),CONCATENATE("R",'Mapa final'!$A$40),"")</f>
        <v/>
      </c>
      <c r="AK18" s="296"/>
      <c r="AL18" s="296" t="str">
        <f ca="1">IF(AND('Mapa final'!$H$46="Alta",'Mapa final'!$L$46="Catastrófico"),CONCATENATE("R",'Mapa final'!$A$46),"")</f>
        <v/>
      </c>
      <c r="AM18" s="297"/>
      <c r="AN18" s="74"/>
      <c r="AO18" s="251"/>
      <c r="AP18" s="252"/>
      <c r="AQ18" s="252"/>
      <c r="AR18" s="252"/>
      <c r="AS18" s="252"/>
      <c r="AT18" s="253"/>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row>
    <row r="19" spans="1:80" ht="15" customHeight="1" x14ac:dyDescent="0.25">
      <c r="A19" s="74"/>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74"/>
      <c r="AO19" s="251"/>
      <c r="AP19" s="252"/>
      <c r="AQ19" s="252"/>
      <c r="AR19" s="252"/>
      <c r="AS19" s="252"/>
      <c r="AT19" s="253"/>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row>
    <row r="20" spans="1:80" ht="15" customHeight="1" x14ac:dyDescent="0.25">
      <c r="A20" s="74"/>
      <c r="B20" s="237"/>
      <c r="C20" s="237"/>
      <c r="D20" s="238"/>
      <c r="E20" s="278"/>
      <c r="F20" s="279"/>
      <c r="G20" s="279"/>
      <c r="H20" s="279"/>
      <c r="I20" s="279"/>
      <c r="J20" s="304" t="str">
        <f ca="1">IF(AND('Mapa final'!$H$52="Alta",'Mapa final'!$L$52="Leve"),CONCATENATE("R",'Mapa final'!$A$52),"")</f>
        <v/>
      </c>
      <c r="K20" s="305"/>
      <c r="L20" s="305" t="str">
        <f>IF(AND('Mapa final'!$H$58="Alta",'Mapa final'!$L$58="Leve"),CONCATENATE("R",'Mapa final'!$A$58),"")</f>
        <v/>
      </c>
      <c r="M20" s="305"/>
      <c r="N20" s="305" t="str">
        <f>IF(AND('Mapa final'!$H$64="Alta",'Mapa final'!$L$64="Leve"),CONCATENATE("R",'Mapa final'!$A$64),"")</f>
        <v/>
      </c>
      <c r="O20" s="306"/>
      <c r="P20" s="304" t="str">
        <f ca="1">IF(AND('Mapa final'!$H$52="Alta",'Mapa final'!$L$52="Menor"),CONCATENATE("R",'Mapa final'!$A$52),"")</f>
        <v/>
      </c>
      <c r="Q20" s="305"/>
      <c r="R20" s="305" t="str">
        <f>IF(AND('Mapa final'!$H$58="Alta",'Mapa final'!$L$58="Menor"),CONCATENATE("R",'Mapa final'!$A$58),"")</f>
        <v/>
      </c>
      <c r="S20" s="305"/>
      <c r="T20" s="305" t="str">
        <f>IF(AND('Mapa final'!$H$64="Alta",'Mapa final'!$L$64="Menor"),CONCATENATE("R",'Mapa final'!$A$64),"")</f>
        <v/>
      </c>
      <c r="U20" s="306"/>
      <c r="V20" s="288" t="str">
        <f ca="1">IF(AND('Mapa final'!$H$52="Alta",'Mapa final'!$L$52="Moderado"),CONCATENATE("R",'Mapa final'!$A$52),"")</f>
        <v/>
      </c>
      <c r="W20" s="284"/>
      <c r="X20" s="284" t="str">
        <f>IF(AND('Mapa final'!$H$58="Alta",'Mapa final'!$L$58="Moderado"),CONCATENATE("R",'Mapa final'!$A$58),"")</f>
        <v/>
      </c>
      <c r="Y20" s="284"/>
      <c r="Z20" s="284" t="str">
        <f>IF(AND('Mapa final'!$H$64="Alta",'Mapa final'!$L$64="Moderado"),CONCATENATE("R",'Mapa final'!$A$64),"")</f>
        <v/>
      </c>
      <c r="AA20" s="285"/>
      <c r="AB20" s="288" t="str">
        <f ca="1">IF(AND('Mapa final'!$H$52="Alta",'Mapa final'!$L$52="Mayor"),CONCATENATE("R",'Mapa final'!$A$52),"")</f>
        <v/>
      </c>
      <c r="AC20" s="284"/>
      <c r="AD20" s="284" t="str">
        <f>IF(AND('Mapa final'!$H$58="Alta",'Mapa final'!$L$58="Mayor"),CONCATENATE("R",'Mapa final'!$A$58),"")</f>
        <v/>
      </c>
      <c r="AE20" s="284"/>
      <c r="AF20" s="284" t="str">
        <f>IF(AND('Mapa final'!$H$64="Alta",'Mapa final'!$L$64="Mayor"),CONCATENATE("R",'Mapa final'!$A$64),"")</f>
        <v/>
      </c>
      <c r="AG20" s="285"/>
      <c r="AH20" s="295" t="str">
        <f ca="1">IF(AND('Mapa final'!$H$52="Alta",'Mapa final'!$L$52="Catastrófico"),CONCATENATE("R",'Mapa final'!$A$52),"")</f>
        <v/>
      </c>
      <c r="AI20" s="296"/>
      <c r="AJ20" s="296" t="str">
        <f>IF(AND('Mapa final'!$H$58="Alta",'Mapa final'!$L$58="Catastrófico"),CONCATENATE("R",'Mapa final'!$A$58),"")</f>
        <v/>
      </c>
      <c r="AK20" s="296"/>
      <c r="AL20" s="296" t="str">
        <f>IF(AND('Mapa final'!$H$64="Alta",'Mapa final'!$L$64="Catastrófico"),CONCATENATE("R",'Mapa final'!$A$64),"")</f>
        <v/>
      </c>
      <c r="AM20" s="297"/>
      <c r="AN20" s="74"/>
      <c r="AO20" s="251"/>
      <c r="AP20" s="252"/>
      <c r="AQ20" s="252"/>
      <c r="AR20" s="252"/>
      <c r="AS20" s="252"/>
      <c r="AT20" s="253"/>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row>
    <row r="21" spans="1:80" ht="15.75" customHeight="1" thickBot="1" x14ac:dyDescent="0.3">
      <c r="A21" s="74"/>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74"/>
      <c r="AO21" s="254"/>
      <c r="AP21" s="255"/>
      <c r="AQ21" s="255"/>
      <c r="AR21" s="255"/>
      <c r="AS21" s="255"/>
      <c r="AT21" s="256"/>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row>
    <row r="22" spans="1:80" x14ac:dyDescent="0.25">
      <c r="A22" s="74"/>
      <c r="B22" s="237"/>
      <c r="C22" s="237"/>
      <c r="D22" s="238"/>
      <c r="E22" s="275" t="s">
        <v>115</v>
      </c>
      <c r="F22" s="276"/>
      <c r="G22" s="276"/>
      <c r="H22" s="276"/>
      <c r="I22" s="277"/>
      <c r="J22" s="310" t="e">
        <f>IF(AND('Mapa final'!#REF!="Media",'Mapa final'!#REF!="Leve"),CONCATENATE("R",'Mapa final'!#REF!),"")</f>
        <v>#REF!</v>
      </c>
      <c r="K22" s="311"/>
      <c r="L22" s="311" t="e">
        <f>IF(AND('Mapa final'!#REF!="Media",'Mapa final'!#REF!="Leve"),CONCATENATE("R",'Mapa final'!#REF!),"")</f>
        <v>#REF!</v>
      </c>
      <c r="M22" s="311"/>
      <c r="N22" s="311" t="str">
        <f ca="1">IF(AND('Mapa final'!$H$10="Media",'Mapa final'!$L$10="Leve"),CONCATENATE("R",'Mapa final'!$A$10),"")</f>
        <v/>
      </c>
      <c r="O22" s="312"/>
      <c r="P22" s="310" t="e">
        <f>IF(AND('Mapa final'!#REF!="Media",'Mapa final'!#REF!="Menor"),CONCATENATE("R",'Mapa final'!#REF!),"")</f>
        <v>#REF!</v>
      </c>
      <c r="Q22" s="311"/>
      <c r="R22" s="311" t="e">
        <f>IF(AND('Mapa final'!#REF!="Media",'Mapa final'!#REF!="Menor"),CONCATENATE("R",'Mapa final'!#REF!),"")</f>
        <v>#REF!</v>
      </c>
      <c r="S22" s="311"/>
      <c r="T22" s="311" t="str">
        <f ca="1">IF(AND('Mapa final'!$H$10="Media",'Mapa final'!$L$10="Menor"),CONCATENATE("R",'Mapa final'!$A$10),"")</f>
        <v/>
      </c>
      <c r="U22" s="312"/>
      <c r="V22" s="310" t="e">
        <f>IF(AND('Mapa final'!#REF!="Media",'Mapa final'!#REF!="Moderado"),CONCATENATE("R",'Mapa final'!#REF!),"")</f>
        <v>#REF!</v>
      </c>
      <c r="W22" s="311"/>
      <c r="X22" s="311" t="e">
        <f>IF(AND('Mapa final'!#REF!="Media",'Mapa final'!#REF!="Moderado"),CONCATENATE("R",'Mapa final'!#REF!),"")</f>
        <v>#REF!</v>
      </c>
      <c r="Y22" s="311"/>
      <c r="Z22" s="311" t="str">
        <f ca="1">IF(AND('Mapa final'!$H$10="Media",'Mapa final'!$L$10="Moderado"),CONCATENATE("R",'Mapa final'!$A$10),"")</f>
        <v/>
      </c>
      <c r="AA22" s="312"/>
      <c r="AB22" s="286" t="e">
        <f>IF(AND('Mapa final'!#REF!="Media",'Mapa final'!#REF!="Mayor"),CONCATENATE("R",'Mapa final'!#REF!),"")</f>
        <v>#REF!</v>
      </c>
      <c r="AC22" s="287"/>
      <c r="AD22" s="287" t="e">
        <f>IF(AND('Mapa final'!#REF!="Media",'Mapa final'!#REF!="Mayor"),CONCATENATE("R",'Mapa final'!#REF!),"")</f>
        <v>#REF!</v>
      </c>
      <c r="AE22" s="287"/>
      <c r="AF22" s="287" t="str">
        <f ca="1">IF(AND('Mapa final'!$H$10="Media",'Mapa final'!$L$10="Mayor"),CONCATENATE("R",'Mapa final'!$A$10),"")</f>
        <v/>
      </c>
      <c r="AG22" s="289"/>
      <c r="AH22" s="301" t="e">
        <f>IF(AND('Mapa final'!#REF!="Media",'Mapa final'!#REF!="Catastrófico"),CONCATENATE("R",'Mapa final'!#REF!),"")</f>
        <v>#REF!</v>
      </c>
      <c r="AI22" s="302"/>
      <c r="AJ22" s="302" t="e">
        <f>IF(AND('Mapa final'!#REF!="Media",'Mapa final'!#REF!="Catastrófico"),CONCATENATE("R",'Mapa final'!#REF!),"")</f>
        <v>#REF!</v>
      </c>
      <c r="AK22" s="302"/>
      <c r="AL22" s="302" t="str">
        <f ca="1">IF(AND('Mapa final'!$H$10="Media",'Mapa final'!$L$10="Catastrófico"),CONCATENATE("R",'Mapa final'!$A$10),"")</f>
        <v/>
      </c>
      <c r="AM22" s="303"/>
      <c r="AN22" s="74"/>
      <c r="AO22" s="257" t="s">
        <v>81</v>
      </c>
      <c r="AP22" s="258"/>
      <c r="AQ22" s="258"/>
      <c r="AR22" s="258"/>
      <c r="AS22" s="258"/>
      <c r="AT22" s="259"/>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row>
    <row r="23" spans="1:80" x14ac:dyDescent="0.25">
      <c r="A23" s="74"/>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74"/>
      <c r="AO23" s="260"/>
      <c r="AP23" s="261"/>
      <c r="AQ23" s="261"/>
      <c r="AR23" s="261"/>
      <c r="AS23" s="261"/>
      <c r="AT23" s="262"/>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row>
    <row r="24" spans="1:80" x14ac:dyDescent="0.25">
      <c r="A24" s="74"/>
      <c r="B24" s="237"/>
      <c r="C24" s="237"/>
      <c r="D24" s="238"/>
      <c r="E24" s="278"/>
      <c r="F24" s="279"/>
      <c r="G24" s="279"/>
      <c r="H24" s="279"/>
      <c r="I24" s="280"/>
      <c r="J24" s="304" t="e">
        <f>IF(AND('Mapa final'!#REF!="Media",'Mapa final'!#REF!="Leve"),CONCATENATE("R",'Mapa final'!#REF!),"")</f>
        <v>#REF!</v>
      </c>
      <c r="K24" s="305"/>
      <c r="L24" s="305" t="str">
        <f ca="1">IF(AND('Mapa final'!$H$16="Media",'Mapa final'!$L$16="Leve"),CONCATENATE("R",'Mapa final'!$A$16),"")</f>
        <v/>
      </c>
      <c r="M24" s="305"/>
      <c r="N24" s="305" t="str">
        <f ca="1">IF(AND('Mapa final'!$H$28="Media",'Mapa final'!$L$28="Leve"),CONCATENATE("R",'Mapa final'!$A$28),"")</f>
        <v/>
      </c>
      <c r="O24" s="306"/>
      <c r="P24" s="304" t="e">
        <f>IF(AND('Mapa final'!#REF!="Media",'Mapa final'!#REF!="Menor"),CONCATENATE("R",'Mapa final'!#REF!),"")</f>
        <v>#REF!</v>
      </c>
      <c r="Q24" s="305"/>
      <c r="R24" s="305" t="str">
        <f ca="1">IF(AND('Mapa final'!$H$16="Media",'Mapa final'!$L$16="Menor"),CONCATENATE("R",'Mapa final'!$A$16),"")</f>
        <v/>
      </c>
      <c r="S24" s="305"/>
      <c r="T24" s="305" t="str">
        <f ca="1">IF(AND('Mapa final'!$H$28="Media",'Mapa final'!$L$28="Menor"),CONCATENATE("R",'Mapa final'!$A$28),"")</f>
        <v/>
      </c>
      <c r="U24" s="306"/>
      <c r="V24" s="304" t="e">
        <f>IF(AND('Mapa final'!#REF!="Media",'Mapa final'!#REF!="Moderado"),CONCATENATE("R",'Mapa final'!#REF!),"")</f>
        <v>#REF!</v>
      </c>
      <c r="W24" s="305"/>
      <c r="X24" s="305" t="str">
        <f ca="1">IF(AND('Mapa final'!$H$16="Media",'Mapa final'!$L$16="Moderado"),CONCATENATE("R",'Mapa final'!$A$16),"")</f>
        <v>R2</v>
      </c>
      <c r="Y24" s="305"/>
      <c r="Z24" s="305" t="str">
        <f ca="1">IF(AND('Mapa final'!$H$28="Media",'Mapa final'!$L$28="Moderado"),CONCATENATE("R",'Mapa final'!$A$28),"")</f>
        <v/>
      </c>
      <c r="AA24" s="306"/>
      <c r="AB24" s="288" t="e">
        <f>IF(AND('Mapa final'!#REF!="Media",'Mapa final'!#REF!="Mayor"),CONCATENATE("R",'Mapa final'!#REF!),"")</f>
        <v>#REF!</v>
      </c>
      <c r="AC24" s="284"/>
      <c r="AD24" s="284" t="str">
        <f ca="1">IF(AND('Mapa final'!$H$16="Media",'Mapa final'!$L$16="Mayor"),CONCATENATE("R",'Mapa final'!$A$16),"")</f>
        <v/>
      </c>
      <c r="AE24" s="284"/>
      <c r="AF24" s="284" t="str">
        <f ca="1">IF(AND('Mapa final'!$H$28="Media",'Mapa final'!$L$28="Mayor"),CONCATENATE("R",'Mapa final'!$A$28),"")</f>
        <v/>
      </c>
      <c r="AG24" s="285"/>
      <c r="AH24" s="295" t="e">
        <f>IF(AND('Mapa final'!#REF!="Media",'Mapa final'!#REF!="Catastrófico"),CONCATENATE("R",'Mapa final'!#REF!),"")</f>
        <v>#REF!</v>
      </c>
      <c r="AI24" s="296"/>
      <c r="AJ24" s="296" t="str">
        <f ca="1">IF(AND('Mapa final'!$H$16="Media",'Mapa final'!$L$16="Catastrófico"),CONCATENATE("R",'Mapa final'!$A$16),"")</f>
        <v/>
      </c>
      <c r="AK24" s="296"/>
      <c r="AL24" s="296" t="str">
        <f ca="1">IF(AND('Mapa final'!$H$28="Media",'Mapa final'!$L$28="Catastrófico"),CONCATENATE("R",'Mapa final'!$A$28),"")</f>
        <v/>
      </c>
      <c r="AM24" s="297"/>
      <c r="AN24" s="74"/>
      <c r="AO24" s="260"/>
      <c r="AP24" s="261"/>
      <c r="AQ24" s="261"/>
      <c r="AR24" s="261"/>
      <c r="AS24" s="261"/>
      <c r="AT24" s="262"/>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row>
    <row r="25" spans="1:80" x14ac:dyDescent="0.25">
      <c r="A25" s="74"/>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74"/>
      <c r="AO25" s="260"/>
      <c r="AP25" s="261"/>
      <c r="AQ25" s="261"/>
      <c r="AR25" s="261"/>
      <c r="AS25" s="261"/>
      <c r="AT25" s="262"/>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row>
    <row r="26" spans="1:80" x14ac:dyDescent="0.25">
      <c r="A26" s="74"/>
      <c r="B26" s="237"/>
      <c r="C26" s="237"/>
      <c r="D26" s="238"/>
      <c r="E26" s="278"/>
      <c r="F26" s="279"/>
      <c r="G26" s="279"/>
      <c r="H26" s="279"/>
      <c r="I26" s="280"/>
      <c r="J26" s="304" t="str">
        <f ca="1">IF(AND('Mapa final'!$H$34="Media",'Mapa final'!$L$34="Leve"),CONCATENATE("R",'Mapa final'!$A$34),"")</f>
        <v/>
      </c>
      <c r="K26" s="305"/>
      <c r="L26" s="305" t="str">
        <f ca="1">IF(AND('Mapa final'!$H$40="Media",'Mapa final'!$L$40="Leve"),CONCATENATE("R",'Mapa final'!$A$40),"")</f>
        <v/>
      </c>
      <c r="M26" s="305"/>
      <c r="N26" s="305" t="str">
        <f ca="1">IF(AND('Mapa final'!$H$46="Media",'Mapa final'!$L$46="Leve"),CONCATENATE("R",'Mapa final'!$A$46),"")</f>
        <v/>
      </c>
      <c r="O26" s="306"/>
      <c r="P26" s="304" t="str">
        <f ca="1">IF(AND('Mapa final'!$H$34="Media",'Mapa final'!$L$34="Menor"),CONCATENATE("R",'Mapa final'!$A$34),"")</f>
        <v/>
      </c>
      <c r="Q26" s="305"/>
      <c r="R26" s="305" t="str">
        <f ca="1">IF(AND('Mapa final'!$H$40="Media",'Mapa final'!$L$40="Menor"),CONCATENATE("R",'Mapa final'!$A$40),"")</f>
        <v/>
      </c>
      <c r="S26" s="305"/>
      <c r="T26" s="305" t="str">
        <f ca="1">IF(AND('Mapa final'!$H$46="Media",'Mapa final'!$L$46="Menor"),CONCATENATE("R",'Mapa final'!$A$46),"")</f>
        <v/>
      </c>
      <c r="U26" s="306"/>
      <c r="V26" s="304" t="str">
        <f ca="1">IF(AND('Mapa final'!$H$34="Media",'Mapa final'!$L$34="Moderado"),CONCATENATE("R",'Mapa final'!$A$34),"")</f>
        <v/>
      </c>
      <c r="W26" s="305"/>
      <c r="X26" s="305" t="str">
        <f ca="1">IF(AND('Mapa final'!$H$40="Media",'Mapa final'!$L$40="Moderado"),CONCATENATE("R",'Mapa final'!$A$40),"")</f>
        <v/>
      </c>
      <c r="Y26" s="305"/>
      <c r="Z26" s="305" t="str">
        <f ca="1">IF(AND('Mapa final'!$H$46="Media",'Mapa final'!$L$46="Moderado"),CONCATENATE("R",'Mapa final'!$A$46),"")</f>
        <v>R7</v>
      </c>
      <c r="AA26" s="306"/>
      <c r="AB26" s="288" t="str">
        <f ca="1">IF(AND('Mapa final'!$H$34="Media",'Mapa final'!$L$34="Mayor"),CONCATENATE("R",'Mapa final'!$A$34),"")</f>
        <v/>
      </c>
      <c r="AC26" s="284"/>
      <c r="AD26" s="284" t="str">
        <f ca="1">IF(AND('Mapa final'!$H$40="Media",'Mapa final'!$L$40="Mayor"),CONCATENATE("R",'Mapa final'!$A$40),"")</f>
        <v>R6</v>
      </c>
      <c r="AE26" s="284"/>
      <c r="AF26" s="284" t="str">
        <f ca="1">IF(AND('Mapa final'!$H$46="Media",'Mapa final'!$L$46="Mayor"),CONCATENATE("R",'Mapa final'!$A$46),"")</f>
        <v/>
      </c>
      <c r="AG26" s="285"/>
      <c r="AH26" s="295" t="str">
        <f ca="1">IF(AND('Mapa final'!$H$34="Media",'Mapa final'!$L$34="Catastrófico"),CONCATENATE("R",'Mapa final'!$A$34),"")</f>
        <v/>
      </c>
      <c r="AI26" s="296"/>
      <c r="AJ26" s="296" t="str">
        <f ca="1">IF(AND('Mapa final'!$H$40="Media",'Mapa final'!$L$40="Catastrófico"),CONCATENATE("R",'Mapa final'!$A$40),"")</f>
        <v/>
      </c>
      <c r="AK26" s="296"/>
      <c r="AL26" s="296" t="str">
        <f ca="1">IF(AND('Mapa final'!$H$46="Media",'Mapa final'!$L$46="Catastrófico"),CONCATENATE("R",'Mapa final'!$A$46),"")</f>
        <v/>
      </c>
      <c r="AM26" s="297"/>
      <c r="AN26" s="74"/>
      <c r="AO26" s="260"/>
      <c r="AP26" s="261"/>
      <c r="AQ26" s="261"/>
      <c r="AR26" s="261"/>
      <c r="AS26" s="261"/>
      <c r="AT26" s="262"/>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row>
    <row r="27" spans="1:80" x14ac:dyDescent="0.25">
      <c r="A27" s="74"/>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74"/>
      <c r="AO27" s="260"/>
      <c r="AP27" s="261"/>
      <c r="AQ27" s="261"/>
      <c r="AR27" s="261"/>
      <c r="AS27" s="261"/>
      <c r="AT27" s="262"/>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row>
    <row r="28" spans="1:80" x14ac:dyDescent="0.25">
      <c r="A28" s="74"/>
      <c r="B28" s="237"/>
      <c r="C28" s="237"/>
      <c r="D28" s="238"/>
      <c r="E28" s="278"/>
      <c r="F28" s="279"/>
      <c r="G28" s="279"/>
      <c r="H28" s="279"/>
      <c r="I28" s="280"/>
      <c r="J28" s="304" t="str">
        <f ca="1">IF(AND('Mapa final'!$H$52="Media",'Mapa final'!$L$52="Leve"),CONCATENATE("R",'Mapa final'!$A$52),"")</f>
        <v/>
      </c>
      <c r="K28" s="305"/>
      <c r="L28" s="305" t="str">
        <f>IF(AND('Mapa final'!$H$58="Media",'Mapa final'!$L$58="Leve"),CONCATENATE("R",'Mapa final'!$A$58),"")</f>
        <v/>
      </c>
      <c r="M28" s="305"/>
      <c r="N28" s="305" t="str">
        <f>IF(AND('Mapa final'!$H$64="Media",'Mapa final'!$L$64="Leve"),CONCATENATE("R",'Mapa final'!$A$64),"")</f>
        <v/>
      </c>
      <c r="O28" s="306"/>
      <c r="P28" s="304" t="str">
        <f ca="1">IF(AND('Mapa final'!$H$52="Media",'Mapa final'!$L$52="Menor"),CONCATENATE("R",'Mapa final'!$A$52),"")</f>
        <v/>
      </c>
      <c r="Q28" s="305"/>
      <c r="R28" s="305" t="str">
        <f>IF(AND('Mapa final'!$H$58="Media",'Mapa final'!$L$58="Menor"),CONCATENATE("R",'Mapa final'!$A$58),"")</f>
        <v/>
      </c>
      <c r="S28" s="305"/>
      <c r="T28" s="305" t="str">
        <f>IF(AND('Mapa final'!$H$64="Media",'Mapa final'!$L$64="Menor"),CONCATENATE("R",'Mapa final'!$A$64),"")</f>
        <v/>
      </c>
      <c r="U28" s="306"/>
      <c r="V28" s="304" t="str">
        <f ca="1">IF(AND('Mapa final'!$H$52="Media",'Mapa final'!$L$52="Moderado"),CONCATENATE("R",'Mapa final'!$A$52),"")</f>
        <v/>
      </c>
      <c r="W28" s="305"/>
      <c r="X28" s="305" t="str">
        <f>IF(AND('Mapa final'!$H$58="Media",'Mapa final'!$L$58="Moderado"),CONCATENATE("R",'Mapa final'!$A$58),"")</f>
        <v/>
      </c>
      <c r="Y28" s="305"/>
      <c r="Z28" s="305" t="str">
        <f>IF(AND('Mapa final'!$H$64="Media",'Mapa final'!$L$64="Moderado"),CONCATENATE("R",'Mapa final'!$A$64),"")</f>
        <v/>
      </c>
      <c r="AA28" s="306"/>
      <c r="AB28" s="288" t="str">
        <f ca="1">IF(AND('Mapa final'!$H$52="Media",'Mapa final'!$L$52="Mayor"),CONCATENATE("R",'Mapa final'!$A$52),"")</f>
        <v/>
      </c>
      <c r="AC28" s="284"/>
      <c r="AD28" s="284" t="str">
        <f>IF(AND('Mapa final'!$H$58="Media",'Mapa final'!$L$58="Mayor"),CONCATENATE("R",'Mapa final'!$A$58),"")</f>
        <v/>
      </c>
      <c r="AE28" s="284"/>
      <c r="AF28" s="284" t="str">
        <f>IF(AND('Mapa final'!$H$64="Media",'Mapa final'!$L$64="Mayor"),CONCATENATE("R",'Mapa final'!$A$64),"")</f>
        <v/>
      </c>
      <c r="AG28" s="285"/>
      <c r="AH28" s="295" t="str">
        <f ca="1">IF(AND('Mapa final'!$H$52="Media",'Mapa final'!$L$52="Catastrófico"),CONCATENATE("R",'Mapa final'!$A$52),"")</f>
        <v/>
      </c>
      <c r="AI28" s="296"/>
      <c r="AJ28" s="296" t="str">
        <f>IF(AND('Mapa final'!$H$58="Media",'Mapa final'!$L$58="Catastrófico"),CONCATENATE("R",'Mapa final'!$A$58),"")</f>
        <v/>
      </c>
      <c r="AK28" s="296"/>
      <c r="AL28" s="296" t="str">
        <f>IF(AND('Mapa final'!$H$64="Media",'Mapa final'!$L$64="Catastrófico"),CONCATENATE("R",'Mapa final'!$A$64),"")</f>
        <v/>
      </c>
      <c r="AM28" s="297"/>
      <c r="AN28" s="74"/>
      <c r="AO28" s="260"/>
      <c r="AP28" s="261"/>
      <c r="AQ28" s="261"/>
      <c r="AR28" s="261"/>
      <c r="AS28" s="261"/>
      <c r="AT28" s="262"/>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row>
    <row r="29" spans="1:80" ht="15.75" thickBot="1" x14ac:dyDescent="0.3">
      <c r="A29" s="74"/>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74"/>
      <c r="AO29" s="263"/>
      <c r="AP29" s="264"/>
      <c r="AQ29" s="264"/>
      <c r="AR29" s="264"/>
      <c r="AS29" s="264"/>
      <c r="AT29" s="265"/>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row>
    <row r="30" spans="1:80" x14ac:dyDescent="0.25">
      <c r="A30" s="74"/>
      <c r="B30" s="237"/>
      <c r="C30" s="237"/>
      <c r="D30" s="238"/>
      <c r="E30" s="275" t="s">
        <v>112</v>
      </c>
      <c r="F30" s="276"/>
      <c r="G30" s="276"/>
      <c r="H30" s="276"/>
      <c r="I30" s="276"/>
      <c r="J30" s="319" t="e">
        <f>IF(AND('Mapa final'!#REF!="Baja",'Mapa final'!#REF!="Leve"),CONCATENATE("R",'Mapa final'!#REF!),"")</f>
        <v>#REF!</v>
      </c>
      <c r="K30" s="320"/>
      <c r="L30" s="320" t="e">
        <f>IF(AND('Mapa final'!#REF!="Baja",'Mapa final'!#REF!="Leve"),CONCATENATE("R",'Mapa final'!#REF!),"")</f>
        <v>#REF!</v>
      </c>
      <c r="M30" s="320"/>
      <c r="N30" s="320" t="str">
        <f ca="1">IF(AND('Mapa final'!$H$10="Baja",'Mapa final'!$L$10="Leve"),CONCATENATE("R",'Mapa final'!$A$10),"")</f>
        <v/>
      </c>
      <c r="O30" s="321"/>
      <c r="P30" s="311" t="e">
        <f>IF(AND('Mapa final'!#REF!="Baja",'Mapa final'!#REF!="Menor"),CONCATENATE("R",'Mapa final'!#REF!),"")</f>
        <v>#REF!</v>
      </c>
      <c r="Q30" s="311"/>
      <c r="R30" s="311" t="e">
        <f>IF(AND('Mapa final'!#REF!="Baja",'Mapa final'!#REF!="Menor"),CONCATENATE("R",'Mapa final'!#REF!),"")</f>
        <v>#REF!</v>
      </c>
      <c r="S30" s="311"/>
      <c r="T30" s="311" t="str">
        <f ca="1">IF(AND('Mapa final'!$H$10="Baja",'Mapa final'!$L$10="Menor"),CONCATENATE("R",'Mapa final'!$A$10),"")</f>
        <v/>
      </c>
      <c r="U30" s="312"/>
      <c r="V30" s="310" t="e">
        <f>IF(AND('Mapa final'!#REF!="Baja",'Mapa final'!#REF!="Moderado"),CONCATENATE("R",'Mapa final'!#REF!),"")</f>
        <v>#REF!</v>
      </c>
      <c r="W30" s="311"/>
      <c r="X30" s="311" t="e">
        <f>IF(AND('Mapa final'!#REF!="Baja",'Mapa final'!#REF!="Moderado"),CONCATENATE("R",'Mapa final'!#REF!),"")</f>
        <v>#REF!</v>
      </c>
      <c r="Y30" s="311"/>
      <c r="Z30" s="311" t="str">
        <f ca="1">IF(AND('Mapa final'!$H$10="Baja",'Mapa final'!$L$10="Moderado"),CONCATENATE("R",'Mapa final'!$A$10),"")</f>
        <v/>
      </c>
      <c r="AA30" s="312"/>
      <c r="AB30" s="286" t="e">
        <f>IF(AND('Mapa final'!#REF!="Baja",'Mapa final'!#REF!="Mayor"),CONCATENATE("R",'Mapa final'!#REF!),"")</f>
        <v>#REF!</v>
      </c>
      <c r="AC30" s="287"/>
      <c r="AD30" s="287" t="e">
        <f>IF(AND('Mapa final'!#REF!="Baja",'Mapa final'!#REF!="Mayor"),CONCATENATE("R",'Mapa final'!#REF!),"")</f>
        <v>#REF!</v>
      </c>
      <c r="AE30" s="287"/>
      <c r="AF30" s="287" t="str">
        <f ca="1">IF(AND('Mapa final'!$H$10="Baja",'Mapa final'!$L$10="Mayor"),CONCATENATE("R",'Mapa final'!$A$10),"")</f>
        <v/>
      </c>
      <c r="AG30" s="289"/>
      <c r="AH30" s="301" t="e">
        <f>IF(AND('Mapa final'!#REF!="Baja",'Mapa final'!#REF!="Catastrófico"),CONCATENATE("R",'Mapa final'!#REF!),"")</f>
        <v>#REF!</v>
      </c>
      <c r="AI30" s="302"/>
      <c r="AJ30" s="302" t="e">
        <f>IF(AND('Mapa final'!#REF!="Baja",'Mapa final'!#REF!="Catastrófico"),CONCATENATE("R",'Mapa final'!#REF!),"")</f>
        <v>#REF!</v>
      </c>
      <c r="AK30" s="302"/>
      <c r="AL30" s="302" t="str">
        <f ca="1">IF(AND('Mapa final'!$H$10="Baja",'Mapa final'!$L$10="Catastrófico"),CONCATENATE("R",'Mapa final'!$A$10),"")</f>
        <v/>
      </c>
      <c r="AM30" s="303"/>
      <c r="AN30" s="74"/>
      <c r="AO30" s="266" t="s">
        <v>82</v>
      </c>
      <c r="AP30" s="267"/>
      <c r="AQ30" s="267"/>
      <c r="AR30" s="267"/>
      <c r="AS30" s="267"/>
      <c r="AT30" s="268"/>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row>
    <row r="31" spans="1:80" x14ac:dyDescent="0.25">
      <c r="A31" s="74"/>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74"/>
      <c r="AO31" s="269"/>
      <c r="AP31" s="270"/>
      <c r="AQ31" s="270"/>
      <c r="AR31" s="270"/>
      <c r="AS31" s="270"/>
      <c r="AT31" s="271"/>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row>
    <row r="32" spans="1:80" x14ac:dyDescent="0.25">
      <c r="A32" s="74"/>
      <c r="B32" s="237"/>
      <c r="C32" s="237"/>
      <c r="D32" s="238"/>
      <c r="E32" s="278"/>
      <c r="F32" s="279"/>
      <c r="G32" s="279"/>
      <c r="H32" s="279"/>
      <c r="I32" s="279"/>
      <c r="J32" s="315" t="e">
        <f>IF(AND('Mapa final'!#REF!="Baja",'Mapa final'!#REF!="Leve"),CONCATENATE("R",'Mapa final'!#REF!),"")</f>
        <v>#REF!</v>
      </c>
      <c r="K32" s="313"/>
      <c r="L32" s="313" t="str">
        <f ca="1">IF(AND('Mapa final'!$H$16="Baja",'Mapa final'!$L$16="Leve"),CONCATENATE("R",'Mapa final'!$A$16),"")</f>
        <v/>
      </c>
      <c r="M32" s="313"/>
      <c r="N32" s="313" t="str">
        <f ca="1">IF(AND('Mapa final'!$H$28="Baja",'Mapa final'!$L$28="Leve"),CONCATENATE("R",'Mapa final'!$A$28),"")</f>
        <v/>
      </c>
      <c r="O32" s="314"/>
      <c r="P32" s="305" t="e">
        <f>IF(AND('Mapa final'!#REF!="Baja",'Mapa final'!#REF!="Menor"),CONCATENATE("R",'Mapa final'!#REF!),"")</f>
        <v>#REF!</v>
      </c>
      <c r="Q32" s="305"/>
      <c r="R32" s="305" t="str">
        <f ca="1">IF(AND('Mapa final'!$H$16="Baja",'Mapa final'!$L$16="Menor"),CONCATENATE("R",'Mapa final'!$A$16),"")</f>
        <v/>
      </c>
      <c r="S32" s="305"/>
      <c r="T32" s="305" t="str">
        <f ca="1">IF(AND('Mapa final'!$H$28="Baja",'Mapa final'!$L$28="Menor"),CONCATENATE("R",'Mapa final'!$A$28),"")</f>
        <v/>
      </c>
      <c r="U32" s="306"/>
      <c r="V32" s="304" t="e">
        <f>IF(AND('Mapa final'!#REF!="Baja",'Mapa final'!#REF!="Moderado"),CONCATENATE("R",'Mapa final'!#REF!),"")</f>
        <v>#REF!</v>
      </c>
      <c r="W32" s="305"/>
      <c r="X32" s="305" t="str">
        <f ca="1">IF(AND('Mapa final'!$H$16="Baja",'Mapa final'!$L$16="Moderado"),CONCATENATE("R",'Mapa final'!$A$16),"")</f>
        <v/>
      </c>
      <c r="Y32" s="305"/>
      <c r="Z32" s="305" t="str">
        <f ca="1">IF(AND('Mapa final'!$H$28="Baja",'Mapa final'!$L$28="Moderado"),CONCATENATE("R",'Mapa final'!$A$28),"")</f>
        <v/>
      </c>
      <c r="AA32" s="306"/>
      <c r="AB32" s="288" t="e">
        <f>IF(AND('Mapa final'!#REF!="Baja",'Mapa final'!#REF!="Mayor"),CONCATENATE("R",'Mapa final'!#REF!),"")</f>
        <v>#REF!</v>
      </c>
      <c r="AC32" s="284"/>
      <c r="AD32" s="284" t="str">
        <f ca="1">IF(AND('Mapa final'!$H$16="Baja",'Mapa final'!$L$16="Mayor"),CONCATENATE("R",'Mapa final'!$A$16),"")</f>
        <v/>
      </c>
      <c r="AE32" s="284"/>
      <c r="AF32" s="284" t="str">
        <f ca="1">IF(AND('Mapa final'!$H$28="Baja",'Mapa final'!$L$28="Mayor"),CONCATENATE("R",'Mapa final'!$A$28),"")</f>
        <v/>
      </c>
      <c r="AG32" s="285"/>
      <c r="AH32" s="295" t="e">
        <f>IF(AND('Mapa final'!#REF!="Baja",'Mapa final'!#REF!="Catastrófico"),CONCATENATE("R",'Mapa final'!#REF!),"")</f>
        <v>#REF!</v>
      </c>
      <c r="AI32" s="296"/>
      <c r="AJ32" s="296" t="str">
        <f ca="1">IF(AND('Mapa final'!$H$16="Baja",'Mapa final'!$L$16="Catastrófico"),CONCATENATE("R",'Mapa final'!$A$16),"")</f>
        <v/>
      </c>
      <c r="AK32" s="296"/>
      <c r="AL32" s="296" t="str">
        <f ca="1">IF(AND('Mapa final'!$H$28="Baja",'Mapa final'!$L$28="Catastrófico"),CONCATENATE("R",'Mapa final'!$A$28),"")</f>
        <v/>
      </c>
      <c r="AM32" s="297"/>
      <c r="AN32" s="74"/>
      <c r="AO32" s="269"/>
      <c r="AP32" s="270"/>
      <c r="AQ32" s="270"/>
      <c r="AR32" s="270"/>
      <c r="AS32" s="270"/>
      <c r="AT32" s="271"/>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row>
    <row r="33" spans="1:80" x14ac:dyDescent="0.25">
      <c r="A33" s="74"/>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74"/>
      <c r="AO33" s="269"/>
      <c r="AP33" s="270"/>
      <c r="AQ33" s="270"/>
      <c r="AR33" s="270"/>
      <c r="AS33" s="270"/>
      <c r="AT33" s="271"/>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row>
    <row r="34" spans="1:80" x14ac:dyDescent="0.25">
      <c r="A34" s="74"/>
      <c r="B34" s="237"/>
      <c r="C34" s="237"/>
      <c r="D34" s="238"/>
      <c r="E34" s="278"/>
      <c r="F34" s="279"/>
      <c r="G34" s="279"/>
      <c r="H34" s="279"/>
      <c r="I34" s="279"/>
      <c r="J34" s="315" t="str">
        <f ca="1">IF(AND('Mapa final'!$H$34="Baja",'Mapa final'!$L$34="Leve"),CONCATENATE("R",'Mapa final'!$A$34),"")</f>
        <v/>
      </c>
      <c r="K34" s="313"/>
      <c r="L34" s="313" t="str">
        <f ca="1">IF(AND('Mapa final'!$H$40="Baja",'Mapa final'!$L$40="Leve"),CONCATENATE("R",'Mapa final'!$A$40),"")</f>
        <v/>
      </c>
      <c r="M34" s="313"/>
      <c r="N34" s="313" t="str">
        <f ca="1">IF(AND('Mapa final'!$H$46="Baja",'Mapa final'!$L$46="Leve"),CONCATENATE("R",'Mapa final'!$A$46),"")</f>
        <v/>
      </c>
      <c r="O34" s="314"/>
      <c r="P34" s="305" t="str">
        <f ca="1">IF(AND('Mapa final'!$H$34="Baja",'Mapa final'!$L$34="Menor"),CONCATENATE("R",'Mapa final'!$A$34),"")</f>
        <v/>
      </c>
      <c r="Q34" s="305"/>
      <c r="R34" s="305" t="str">
        <f ca="1">IF(AND('Mapa final'!$H$40="Baja",'Mapa final'!$L$40="Menor"),CONCATENATE("R",'Mapa final'!$A$40),"")</f>
        <v/>
      </c>
      <c r="S34" s="305"/>
      <c r="T34" s="305" t="str">
        <f ca="1">IF(AND('Mapa final'!$H$46="Baja",'Mapa final'!$L$46="Menor"),CONCATENATE("R",'Mapa final'!$A$46),"")</f>
        <v/>
      </c>
      <c r="U34" s="306"/>
      <c r="V34" s="304" t="str">
        <f ca="1">IF(AND('Mapa final'!$H$34="Baja",'Mapa final'!$L$34="Moderado"),CONCATENATE("R",'Mapa final'!$A$34),"")</f>
        <v/>
      </c>
      <c r="W34" s="305"/>
      <c r="X34" s="305" t="str">
        <f ca="1">IF(AND('Mapa final'!$H$40="Baja",'Mapa final'!$L$40="Moderado"),CONCATENATE("R",'Mapa final'!$A$40),"")</f>
        <v/>
      </c>
      <c r="Y34" s="305"/>
      <c r="Z34" s="305" t="str">
        <f ca="1">IF(AND('Mapa final'!$H$46="Baja",'Mapa final'!$L$46="Moderado"),CONCATENATE("R",'Mapa final'!$A$46),"")</f>
        <v/>
      </c>
      <c r="AA34" s="306"/>
      <c r="AB34" s="288" t="str">
        <f ca="1">IF(AND('Mapa final'!$H$34="Baja",'Mapa final'!$L$34="Mayor"),CONCATENATE("R",'Mapa final'!$A$34),"")</f>
        <v/>
      </c>
      <c r="AC34" s="284"/>
      <c r="AD34" s="284" t="str">
        <f ca="1">IF(AND('Mapa final'!$H$40="Baja",'Mapa final'!$L$40="Mayor"),CONCATENATE("R",'Mapa final'!$A$40),"")</f>
        <v/>
      </c>
      <c r="AE34" s="284"/>
      <c r="AF34" s="284" t="str">
        <f ca="1">IF(AND('Mapa final'!$H$46="Baja",'Mapa final'!$L$46="Mayor"),CONCATENATE("R",'Mapa final'!$A$46),"")</f>
        <v/>
      </c>
      <c r="AG34" s="285"/>
      <c r="AH34" s="295" t="str">
        <f ca="1">IF(AND('Mapa final'!$H$34="Baja",'Mapa final'!$L$34="Catastrófico"),CONCATENATE("R",'Mapa final'!$A$34),"")</f>
        <v/>
      </c>
      <c r="AI34" s="296"/>
      <c r="AJ34" s="296" t="str">
        <f ca="1">IF(AND('Mapa final'!$H$40="Baja",'Mapa final'!$L$40="Catastrófico"),CONCATENATE("R",'Mapa final'!$A$40),"")</f>
        <v/>
      </c>
      <c r="AK34" s="296"/>
      <c r="AL34" s="296" t="str">
        <f ca="1">IF(AND('Mapa final'!$H$46="Baja",'Mapa final'!$L$46="Catastrófico"),CONCATENATE("R",'Mapa final'!$A$46),"")</f>
        <v/>
      </c>
      <c r="AM34" s="297"/>
      <c r="AN34" s="74"/>
      <c r="AO34" s="269"/>
      <c r="AP34" s="270"/>
      <c r="AQ34" s="270"/>
      <c r="AR34" s="270"/>
      <c r="AS34" s="270"/>
      <c r="AT34" s="271"/>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row>
    <row r="35" spans="1:80" x14ac:dyDescent="0.25">
      <c r="A35" s="74"/>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74"/>
      <c r="AO35" s="269"/>
      <c r="AP35" s="270"/>
      <c r="AQ35" s="270"/>
      <c r="AR35" s="270"/>
      <c r="AS35" s="270"/>
      <c r="AT35" s="271"/>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row>
    <row r="36" spans="1:80" x14ac:dyDescent="0.25">
      <c r="A36" s="74"/>
      <c r="B36" s="237"/>
      <c r="C36" s="237"/>
      <c r="D36" s="238"/>
      <c r="E36" s="278"/>
      <c r="F36" s="279"/>
      <c r="G36" s="279"/>
      <c r="H36" s="279"/>
      <c r="I36" s="279"/>
      <c r="J36" s="315" t="str">
        <f ca="1">IF(AND('Mapa final'!$H$52="Baja",'Mapa final'!$L$52="Leve"),CONCATENATE("R",'Mapa final'!$A$52),"")</f>
        <v/>
      </c>
      <c r="K36" s="313"/>
      <c r="L36" s="313" t="str">
        <f>IF(AND('Mapa final'!$H$58="Baja",'Mapa final'!$L$58="Leve"),CONCATENATE("R",'Mapa final'!$A$58),"")</f>
        <v/>
      </c>
      <c r="M36" s="313"/>
      <c r="N36" s="313" t="str">
        <f>IF(AND('Mapa final'!$H$64="Baja",'Mapa final'!$L$64="Leve"),CONCATENATE("R",'Mapa final'!$A$64),"")</f>
        <v/>
      </c>
      <c r="O36" s="314"/>
      <c r="P36" s="305" t="str">
        <f ca="1">IF(AND('Mapa final'!$H$52="Baja",'Mapa final'!$L$52="Menor"),CONCATENATE("R",'Mapa final'!$A$52),"")</f>
        <v/>
      </c>
      <c r="Q36" s="305"/>
      <c r="R36" s="305" t="str">
        <f>IF(AND('Mapa final'!$H$58="Baja",'Mapa final'!$L$58="Menor"),CONCATENATE("R",'Mapa final'!$A$58),"")</f>
        <v/>
      </c>
      <c r="S36" s="305"/>
      <c r="T36" s="305" t="str">
        <f>IF(AND('Mapa final'!$H$64="Baja",'Mapa final'!$L$64="Menor"),CONCATENATE("R",'Mapa final'!$A$64),"")</f>
        <v/>
      </c>
      <c r="U36" s="306"/>
      <c r="V36" s="304" t="str">
        <f ca="1">IF(AND('Mapa final'!$H$52="Baja",'Mapa final'!$L$52="Moderado"),CONCATENATE("R",'Mapa final'!$A$52),"")</f>
        <v/>
      </c>
      <c r="W36" s="305"/>
      <c r="X36" s="305" t="str">
        <f>IF(AND('Mapa final'!$H$58="Baja",'Mapa final'!$L$58="Moderado"),CONCATENATE("R",'Mapa final'!$A$58),"")</f>
        <v/>
      </c>
      <c r="Y36" s="305"/>
      <c r="Z36" s="305" t="str">
        <f>IF(AND('Mapa final'!$H$64="Baja",'Mapa final'!$L$64="Moderado"),CONCATENATE("R",'Mapa final'!$A$64),"")</f>
        <v/>
      </c>
      <c r="AA36" s="306"/>
      <c r="AB36" s="288" t="str">
        <f ca="1">IF(AND('Mapa final'!$H$52="Baja",'Mapa final'!$L$52="Mayor"),CONCATENATE("R",'Mapa final'!$A$52),"")</f>
        <v/>
      </c>
      <c r="AC36" s="284"/>
      <c r="AD36" s="284" t="str">
        <f>IF(AND('Mapa final'!$H$58="Baja",'Mapa final'!$L$58="Mayor"),CONCATENATE("R",'Mapa final'!$A$58),"")</f>
        <v/>
      </c>
      <c r="AE36" s="284"/>
      <c r="AF36" s="284" t="str">
        <f>IF(AND('Mapa final'!$H$64="Baja",'Mapa final'!$L$64="Mayor"),CONCATENATE("R",'Mapa final'!$A$64),"")</f>
        <v/>
      </c>
      <c r="AG36" s="285"/>
      <c r="AH36" s="295" t="str">
        <f ca="1">IF(AND('Mapa final'!$H$52="Baja",'Mapa final'!$L$52="Catastrófico"),CONCATENATE("R",'Mapa final'!$A$52),"")</f>
        <v/>
      </c>
      <c r="AI36" s="296"/>
      <c r="AJ36" s="296" t="str">
        <f>IF(AND('Mapa final'!$H$58="Baja",'Mapa final'!$L$58="Catastrófico"),CONCATENATE("R",'Mapa final'!$A$58),"")</f>
        <v/>
      </c>
      <c r="AK36" s="296"/>
      <c r="AL36" s="296" t="str">
        <f>IF(AND('Mapa final'!$H$64="Baja",'Mapa final'!$L$64="Catastrófico"),CONCATENATE("R",'Mapa final'!$A$64),"")</f>
        <v/>
      </c>
      <c r="AM36" s="297"/>
      <c r="AN36" s="74"/>
      <c r="AO36" s="269"/>
      <c r="AP36" s="270"/>
      <c r="AQ36" s="270"/>
      <c r="AR36" s="270"/>
      <c r="AS36" s="270"/>
      <c r="AT36" s="271"/>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row>
    <row r="37" spans="1:80" ht="15.75" thickBot="1" x14ac:dyDescent="0.3">
      <c r="A37" s="74"/>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74"/>
      <c r="AO37" s="272"/>
      <c r="AP37" s="273"/>
      <c r="AQ37" s="273"/>
      <c r="AR37" s="273"/>
      <c r="AS37" s="273"/>
      <c r="AT37" s="2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row>
    <row r="38" spans="1:80" x14ac:dyDescent="0.25">
      <c r="A38" s="74"/>
      <c r="B38" s="237"/>
      <c r="C38" s="237"/>
      <c r="D38" s="238"/>
      <c r="E38" s="275" t="s">
        <v>111</v>
      </c>
      <c r="F38" s="276"/>
      <c r="G38" s="276"/>
      <c r="H38" s="276"/>
      <c r="I38" s="277"/>
      <c r="J38" s="319" t="e">
        <f>IF(AND('Mapa final'!#REF!="Muy Baja",'Mapa final'!#REF!="Leve"),CONCATENATE("R",'Mapa final'!#REF!),"")</f>
        <v>#REF!</v>
      </c>
      <c r="K38" s="320"/>
      <c r="L38" s="320" t="e">
        <f>IF(AND('Mapa final'!#REF!="Muy Baja",'Mapa final'!#REF!="Leve"),CONCATENATE("R",'Mapa final'!#REF!),"")</f>
        <v>#REF!</v>
      </c>
      <c r="M38" s="320"/>
      <c r="N38" s="320" t="str">
        <f ca="1">IF(AND('Mapa final'!$H$10="Muy Baja",'Mapa final'!$L$10="Leve"),CONCATENATE("R",'Mapa final'!$A$10),"")</f>
        <v/>
      </c>
      <c r="O38" s="321"/>
      <c r="P38" s="319" t="e">
        <f>IF(AND('Mapa final'!#REF!="Muy Baja",'Mapa final'!#REF!="Menor"),CONCATENATE("R",'Mapa final'!#REF!),"")</f>
        <v>#REF!</v>
      </c>
      <c r="Q38" s="320"/>
      <c r="R38" s="320" t="e">
        <f>IF(AND('Mapa final'!#REF!="Muy Baja",'Mapa final'!#REF!="Menor"),CONCATENATE("R",'Mapa final'!#REF!),"")</f>
        <v>#REF!</v>
      </c>
      <c r="S38" s="320"/>
      <c r="T38" s="320" t="str">
        <f ca="1">IF(AND('Mapa final'!$H$10="Muy Baja",'Mapa final'!$L$10="Menor"),CONCATENATE("R",'Mapa final'!$A$10),"")</f>
        <v/>
      </c>
      <c r="U38" s="321"/>
      <c r="V38" s="310" t="e">
        <f>IF(AND('Mapa final'!#REF!="Muy Baja",'Mapa final'!#REF!="Moderado"),CONCATENATE("R",'Mapa final'!#REF!),"")</f>
        <v>#REF!</v>
      </c>
      <c r="W38" s="311"/>
      <c r="X38" s="311" t="e">
        <f>IF(AND('Mapa final'!#REF!="Muy Baja",'Mapa final'!#REF!="Moderado"),CONCATENATE("R",'Mapa final'!#REF!),"")</f>
        <v>#REF!</v>
      </c>
      <c r="Y38" s="311"/>
      <c r="Z38" s="311" t="str">
        <f ca="1">IF(AND('Mapa final'!$H$10="Muy Baja",'Mapa final'!$L$10="Moderado"),CONCATENATE("R",'Mapa final'!$A$10),"")</f>
        <v/>
      </c>
      <c r="AA38" s="312"/>
      <c r="AB38" s="286" t="e">
        <f>IF(AND('Mapa final'!#REF!="Muy Baja",'Mapa final'!#REF!="Mayor"),CONCATENATE("R",'Mapa final'!#REF!),"")</f>
        <v>#REF!</v>
      </c>
      <c r="AC38" s="287"/>
      <c r="AD38" s="287" t="e">
        <f>IF(AND('Mapa final'!#REF!="Muy Baja",'Mapa final'!#REF!="Mayor"),CONCATENATE("R",'Mapa final'!#REF!),"")</f>
        <v>#REF!</v>
      </c>
      <c r="AE38" s="287"/>
      <c r="AF38" s="287" t="str">
        <f ca="1">IF(AND('Mapa final'!$H$10="Muy Baja",'Mapa final'!$L$10="Mayor"),CONCATENATE("R",'Mapa final'!$A$10),"")</f>
        <v/>
      </c>
      <c r="AG38" s="289"/>
      <c r="AH38" s="301" t="e">
        <f>IF(AND('Mapa final'!#REF!="Muy Baja",'Mapa final'!#REF!="Catastrófico"),CONCATENATE("R",'Mapa final'!#REF!),"")</f>
        <v>#REF!</v>
      </c>
      <c r="AI38" s="302"/>
      <c r="AJ38" s="302" t="e">
        <f>IF(AND('Mapa final'!#REF!="Muy Baja",'Mapa final'!#REF!="Catastrófico"),CONCATENATE("R",'Mapa final'!#REF!),"")</f>
        <v>#REF!</v>
      </c>
      <c r="AK38" s="302"/>
      <c r="AL38" s="302" t="str">
        <f ca="1">IF(AND('Mapa final'!$H$10="Muy Baja",'Mapa final'!$L$10="Catastrófico"),CONCATENATE("R",'Mapa final'!$A$10),"")</f>
        <v/>
      </c>
      <c r="AM38" s="303"/>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row>
    <row r="39" spans="1:80" x14ac:dyDescent="0.25">
      <c r="A39" s="74"/>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row>
    <row r="40" spans="1:80" x14ac:dyDescent="0.25">
      <c r="A40" s="74"/>
      <c r="B40" s="237"/>
      <c r="C40" s="237"/>
      <c r="D40" s="238"/>
      <c r="E40" s="278"/>
      <c r="F40" s="279"/>
      <c r="G40" s="279"/>
      <c r="H40" s="279"/>
      <c r="I40" s="280"/>
      <c r="J40" s="315" t="e">
        <f>IF(AND('Mapa final'!#REF!="Muy Baja",'Mapa final'!#REF!="Leve"),CONCATENATE("R",'Mapa final'!#REF!),"")</f>
        <v>#REF!</v>
      </c>
      <c r="K40" s="313"/>
      <c r="L40" s="313" t="str">
        <f ca="1">IF(AND('Mapa final'!$H$16="Muy Baja",'Mapa final'!$L$16="Leve"),CONCATENATE("R",'Mapa final'!$A$16),"")</f>
        <v/>
      </c>
      <c r="M40" s="313"/>
      <c r="N40" s="313" t="str">
        <f ca="1">IF(AND('Mapa final'!$H$28="Muy Baja",'Mapa final'!$L$28="Leve"),CONCATENATE("R",'Mapa final'!$A$28),"")</f>
        <v/>
      </c>
      <c r="O40" s="314"/>
      <c r="P40" s="315" t="e">
        <f>IF(AND('Mapa final'!#REF!="Muy Baja",'Mapa final'!#REF!="Menor"),CONCATENATE("R",'Mapa final'!#REF!),"")</f>
        <v>#REF!</v>
      </c>
      <c r="Q40" s="313"/>
      <c r="R40" s="313" t="str">
        <f ca="1">IF(AND('Mapa final'!$H$16="Muy Baja",'Mapa final'!$L$16="Menor"),CONCATENATE("R",'Mapa final'!$A$16),"")</f>
        <v/>
      </c>
      <c r="S40" s="313"/>
      <c r="T40" s="313" t="str">
        <f ca="1">IF(AND('Mapa final'!$H$28="Muy Baja",'Mapa final'!$L$28="Menor"),CONCATENATE("R",'Mapa final'!$A$28),"")</f>
        <v/>
      </c>
      <c r="U40" s="314"/>
      <c r="V40" s="304" t="e">
        <f>IF(AND('Mapa final'!#REF!="Muy Baja",'Mapa final'!#REF!="Moderado"),CONCATENATE("R",'Mapa final'!#REF!),"")</f>
        <v>#REF!</v>
      </c>
      <c r="W40" s="305"/>
      <c r="X40" s="305" t="str">
        <f ca="1">IF(AND('Mapa final'!$H$16="Muy Baja",'Mapa final'!$L$16="Moderado"),CONCATENATE("R",'Mapa final'!$A$16),"")</f>
        <v/>
      </c>
      <c r="Y40" s="305"/>
      <c r="Z40" s="305" t="str">
        <f ca="1">IF(AND('Mapa final'!$H$28="Muy Baja",'Mapa final'!$L$28="Moderado"),CONCATENATE("R",'Mapa final'!$A$28),"")</f>
        <v/>
      </c>
      <c r="AA40" s="306"/>
      <c r="AB40" s="288" t="e">
        <f>IF(AND('Mapa final'!#REF!="Muy Baja",'Mapa final'!#REF!="Mayor"),CONCATENATE("R",'Mapa final'!#REF!),"")</f>
        <v>#REF!</v>
      </c>
      <c r="AC40" s="284"/>
      <c r="AD40" s="284" t="str">
        <f ca="1">IF(AND('Mapa final'!$H$16="Muy Baja",'Mapa final'!$L$16="Mayor"),CONCATENATE("R",'Mapa final'!$A$16),"")</f>
        <v/>
      </c>
      <c r="AE40" s="284"/>
      <c r="AF40" s="284" t="str">
        <f ca="1">IF(AND('Mapa final'!$H$28="Muy Baja",'Mapa final'!$L$28="Mayor"),CONCATENATE("R",'Mapa final'!$A$28),"")</f>
        <v/>
      </c>
      <c r="AG40" s="285"/>
      <c r="AH40" s="295" t="e">
        <f>IF(AND('Mapa final'!#REF!="Muy Baja",'Mapa final'!#REF!="Catastrófico"),CONCATENATE("R",'Mapa final'!#REF!),"")</f>
        <v>#REF!</v>
      </c>
      <c r="AI40" s="296"/>
      <c r="AJ40" s="296" t="str">
        <f ca="1">IF(AND('Mapa final'!$H$16="Muy Baja",'Mapa final'!$L$16="Catastrófico"),CONCATENATE("R",'Mapa final'!$A$16),"")</f>
        <v/>
      </c>
      <c r="AK40" s="296"/>
      <c r="AL40" s="296" t="str">
        <f ca="1">IF(AND('Mapa final'!$H$28="Muy Baja",'Mapa final'!$L$28="Catastrófico"),CONCATENATE("R",'Mapa final'!$A$28),"")</f>
        <v/>
      </c>
      <c r="AM40" s="297"/>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row>
    <row r="41" spans="1:80" x14ac:dyDescent="0.25">
      <c r="A41" s="74"/>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row>
    <row r="42" spans="1:80" x14ac:dyDescent="0.25">
      <c r="A42" s="74"/>
      <c r="B42" s="237"/>
      <c r="C42" s="237"/>
      <c r="D42" s="238"/>
      <c r="E42" s="278"/>
      <c r="F42" s="279"/>
      <c r="G42" s="279"/>
      <c r="H42" s="279"/>
      <c r="I42" s="280"/>
      <c r="J42" s="315" t="str">
        <f ca="1">IF(AND('Mapa final'!$H$34="Muy Baja",'Mapa final'!$L$34="Leve"),CONCATENATE("R",'Mapa final'!$A$34),"")</f>
        <v/>
      </c>
      <c r="K42" s="313"/>
      <c r="L42" s="313" t="str">
        <f ca="1">IF(AND('Mapa final'!$H$40="Muy Baja",'Mapa final'!$L$40="Leve"),CONCATENATE("R",'Mapa final'!$A$40),"")</f>
        <v/>
      </c>
      <c r="M42" s="313"/>
      <c r="N42" s="313" t="str">
        <f ca="1">IF(AND('Mapa final'!$H$46="Muy Baja",'Mapa final'!$L$46="Leve"),CONCATENATE("R",'Mapa final'!$A$46),"")</f>
        <v/>
      </c>
      <c r="O42" s="314"/>
      <c r="P42" s="315" t="str">
        <f ca="1">IF(AND('Mapa final'!$H$34="Muy Baja",'Mapa final'!$L$34="Menor"),CONCATENATE("R",'Mapa final'!$A$34),"")</f>
        <v/>
      </c>
      <c r="Q42" s="313"/>
      <c r="R42" s="313" t="str">
        <f ca="1">IF(AND('Mapa final'!$H$40="Muy Baja",'Mapa final'!$L$40="Menor"),CONCATENATE("R",'Mapa final'!$A$40),"")</f>
        <v/>
      </c>
      <c r="S42" s="313"/>
      <c r="T42" s="313" t="str">
        <f ca="1">IF(AND('Mapa final'!$H$46="Muy Baja",'Mapa final'!$L$46="Menor"),CONCATENATE("R",'Mapa final'!$A$46),"")</f>
        <v/>
      </c>
      <c r="U42" s="314"/>
      <c r="V42" s="304" t="str">
        <f ca="1">IF(AND('Mapa final'!$H$34="Muy Baja",'Mapa final'!$L$34="Moderado"),CONCATENATE("R",'Mapa final'!$A$34),"")</f>
        <v/>
      </c>
      <c r="W42" s="305"/>
      <c r="X42" s="305" t="str">
        <f ca="1">IF(AND('Mapa final'!$H$40="Muy Baja",'Mapa final'!$L$40="Moderado"),CONCATENATE("R",'Mapa final'!$A$40),"")</f>
        <v/>
      </c>
      <c r="Y42" s="305"/>
      <c r="Z42" s="305" t="str">
        <f ca="1">IF(AND('Mapa final'!$H$46="Muy Baja",'Mapa final'!$L$46="Moderado"),CONCATENATE("R",'Mapa final'!$A$46),"")</f>
        <v/>
      </c>
      <c r="AA42" s="306"/>
      <c r="AB42" s="288" t="str">
        <f ca="1">IF(AND('Mapa final'!$H$34="Muy Baja",'Mapa final'!$L$34="Mayor"),CONCATENATE("R",'Mapa final'!$A$34),"")</f>
        <v/>
      </c>
      <c r="AC42" s="284"/>
      <c r="AD42" s="284" t="str">
        <f ca="1">IF(AND('Mapa final'!$H$40="Muy Baja",'Mapa final'!$L$40="Mayor"),CONCATENATE("R",'Mapa final'!$A$40),"")</f>
        <v/>
      </c>
      <c r="AE42" s="284"/>
      <c r="AF42" s="284" t="str">
        <f ca="1">IF(AND('Mapa final'!$H$46="Muy Baja",'Mapa final'!$L$46="Mayor"),CONCATENATE("R",'Mapa final'!$A$46),"")</f>
        <v/>
      </c>
      <c r="AG42" s="285"/>
      <c r="AH42" s="295" t="str">
        <f ca="1">IF(AND('Mapa final'!$H$34="Muy Baja",'Mapa final'!$L$34="Catastrófico"),CONCATENATE("R",'Mapa final'!$A$34),"")</f>
        <v/>
      </c>
      <c r="AI42" s="296"/>
      <c r="AJ42" s="296" t="str">
        <f ca="1">IF(AND('Mapa final'!$H$40="Muy Baja",'Mapa final'!$L$40="Catastrófico"),CONCATENATE("R",'Mapa final'!$A$40),"")</f>
        <v/>
      </c>
      <c r="AK42" s="296"/>
      <c r="AL42" s="296" t="str">
        <f ca="1">IF(AND('Mapa final'!$H$46="Muy Baja",'Mapa final'!$L$46="Catastrófico"),CONCATENATE("R",'Mapa final'!$A$46),"")</f>
        <v/>
      </c>
      <c r="AM42" s="297"/>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row>
    <row r="43" spans="1:80" x14ac:dyDescent="0.25">
      <c r="A43" s="74"/>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row>
    <row r="44" spans="1:80" x14ac:dyDescent="0.25">
      <c r="A44" s="74"/>
      <c r="B44" s="237"/>
      <c r="C44" s="237"/>
      <c r="D44" s="238"/>
      <c r="E44" s="278"/>
      <c r="F44" s="279"/>
      <c r="G44" s="279"/>
      <c r="H44" s="279"/>
      <c r="I44" s="280"/>
      <c r="J44" s="315" t="str">
        <f ca="1">IF(AND('Mapa final'!$H$52="Muy Baja",'Mapa final'!$L$52="Leve"),CONCATENATE("R",'Mapa final'!$A$52),"")</f>
        <v/>
      </c>
      <c r="K44" s="313"/>
      <c r="L44" s="313" t="str">
        <f>IF(AND('Mapa final'!$H$58="Muy Baja",'Mapa final'!$L$58="Leve"),CONCATENATE("R",'Mapa final'!$A$58),"")</f>
        <v/>
      </c>
      <c r="M44" s="313"/>
      <c r="N44" s="313" t="str">
        <f>IF(AND('Mapa final'!$H$64="Muy Baja",'Mapa final'!$L$64="Leve"),CONCATENATE("R",'Mapa final'!$A$64),"")</f>
        <v/>
      </c>
      <c r="O44" s="314"/>
      <c r="P44" s="315" t="str">
        <f ca="1">IF(AND('Mapa final'!$H$52="Muy Baja",'Mapa final'!$L$52="Menor"),CONCATENATE("R",'Mapa final'!$A$52),"")</f>
        <v/>
      </c>
      <c r="Q44" s="313"/>
      <c r="R44" s="313" t="str">
        <f>IF(AND('Mapa final'!$H$58="Muy Baja",'Mapa final'!$L$58="Menor"),CONCATENATE("R",'Mapa final'!$A$58),"")</f>
        <v/>
      </c>
      <c r="S44" s="313"/>
      <c r="T44" s="313" t="str">
        <f>IF(AND('Mapa final'!$H$64="Muy Baja",'Mapa final'!$L$64="Menor"),CONCATENATE("R",'Mapa final'!$A$64),"")</f>
        <v/>
      </c>
      <c r="U44" s="314"/>
      <c r="V44" s="304" t="str">
        <f ca="1">IF(AND('Mapa final'!$H$52="Muy Baja",'Mapa final'!$L$52="Moderado"),CONCATENATE("R",'Mapa final'!$A$52),"")</f>
        <v/>
      </c>
      <c r="W44" s="305"/>
      <c r="X44" s="305" t="str">
        <f>IF(AND('Mapa final'!$H$58="Muy Baja",'Mapa final'!$L$58="Moderado"),CONCATENATE("R",'Mapa final'!$A$58),"")</f>
        <v/>
      </c>
      <c r="Y44" s="305"/>
      <c r="Z44" s="305" t="str">
        <f>IF(AND('Mapa final'!$H$64="Muy Baja",'Mapa final'!$L$64="Moderado"),CONCATENATE("R",'Mapa final'!$A$64),"")</f>
        <v/>
      </c>
      <c r="AA44" s="306"/>
      <c r="AB44" s="288" t="str">
        <f ca="1">IF(AND('Mapa final'!$H$52="Muy Baja",'Mapa final'!$L$52="Mayor"),CONCATENATE("R",'Mapa final'!$A$52),"")</f>
        <v/>
      </c>
      <c r="AC44" s="284"/>
      <c r="AD44" s="284" t="str">
        <f>IF(AND('Mapa final'!$H$58="Muy Baja",'Mapa final'!$L$58="Mayor"),CONCATENATE("R",'Mapa final'!$A$58),"")</f>
        <v/>
      </c>
      <c r="AE44" s="284"/>
      <c r="AF44" s="284" t="str">
        <f>IF(AND('Mapa final'!$H$64="Muy Baja",'Mapa final'!$L$64="Mayor"),CONCATENATE("R",'Mapa final'!$A$64),"")</f>
        <v/>
      </c>
      <c r="AG44" s="285"/>
      <c r="AH44" s="295" t="str">
        <f ca="1">IF(AND('Mapa final'!$H$52="Muy Baja",'Mapa final'!$L$52="Catastrófico"),CONCATENATE("R",'Mapa final'!$A$52),"")</f>
        <v/>
      </c>
      <c r="AI44" s="296"/>
      <c r="AJ44" s="296" t="str">
        <f>IF(AND('Mapa final'!$H$58="Muy Baja",'Mapa final'!$L$58="Catastrófico"),CONCATENATE("R",'Mapa final'!$A$58),"")</f>
        <v/>
      </c>
      <c r="AK44" s="296"/>
      <c r="AL44" s="296" t="str">
        <f>IF(AND('Mapa final'!$H$64="Muy Baja",'Mapa final'!$L$64="Catastrófico"),CONCATENATE("R",'Mapa final'!$A$64),"")</f>
        <v/>
      </c>
      <c r="AM44" s="297"/>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row>
    <row r="45" spans="1:80" ht="15.75" thickBot="1" x14ac:dyDescent="0.3">
      <c r="A45" s="74"/>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row>
    <row r="46" spans="1:80" x14ac:dyDescent="0.25">
      <c r="A46" s="74"/>
      <c r="B46" s="74"/>
      <c r="C46" s="74"/>
      <c r="D46" s="74"/>
      <c r="E46" s="74"/>
      <c r="F46" s="74"/>
      <c r="G46" s="74"/>
      <c r="H46" s="74"/>
      <c r="I46" s="74"/>
      <c r="J46" s="275" t="s">
        <v>110</v>
      </c>
      <c r="K46" s="276"/>
      <c r="L46" s="276"/>
      <c r="M46" s="276"/>
      <c r="N46" s="276"/>
      <c r="O46" s="277"/>
      <c r="P46" s="275" t="s">
        <v>109</v>
      </c>
      <c r="Q46" s="276"/>
      <c r="R46" s="276"/>
      <c r="S46" s="276"/>
      <c r="T46" s="276"/>
      <c r="U46" s="277"/>
      <c r="V46" s="275" t="s">
        <v>108</v>
      </c>
      <c r="W46" s="276"/>
      <c r="X46" s="276"/>
      <c r="Y46" s="276"/>
      <c r="Z46" s="276"/>
      <c r="AA46" s="277"/>
      <c r="AB46" s="275" t="s">
        <v>107</v>
      </c>
      <c r="AC46" s="291"/>
      <c r="AD46" s="276"/>
      <c r="AE46" s="276"/>
      <c r="AF46" s="276"/>
      <c r="AG46" s="277"/>
      <c r="AH46" s="275" t="s">
        <v>106</v>
      </c>
      <c r="AI46" s="276"/>
      <c r="AJ46" s="276"/>
      <c r="AK46" s="276"/>
      <c r="AL46" s="276"/>
      <c r="AM46" s="277"/>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x14ac:dyDescent="0.25">
      <c r="A47" s="74"/>
      <c r="B47" s="74"/>
      <c r="C47" s="74"/>
      <c r="D47" s="74"/>
      <c r="E47" s="74"/>
      <c r="F47" s="74"/>
      <c r="G47" s="74"/>
      <c r="H47" s="74"/>
      <c r="I47" s="74"/>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x14ac:dyDescent="0.25">
      <c r="A48" s="74"/>
      <c r="B48" s="74"/>
      <c r="C48" s="74"/>
      <c r="D48" s="74"/>
      <c r="E48" s="74"/>
      <c r="F48" s="74"/>
      <c r="G48" s="74"/>
      <c r="H48" s="74"/>
      <c r="I48" s="74"/>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x14ac:dyDescent="0.25">
      <c r="A49" s="74"/>
      <c r="B49" s="74"/>
      <c r="C49" s="74"/>
      <c r="D49" s="74"/>
      <c r="E49" s="74"/>
      <c r="F49" s="74"/>
      <c r="G49" s="74"/>
      <c r="H49" s="74"/>
      <c r="I49" s="74"/>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x14ac:dyDescent="0.25">
      <c r="A50" s="74"/>
      <c r="B50" s="74"/>
      <c r="C50" s="74"/>
      <c r="D50" s="74"/>
      <c r="E50" s="74"/>
      <c r="F50" s="74"/>
      <c r="G50" s="74"/>
      <c r="H50" s="74"/>
      <c r="I50" s="74"/>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75" thickBot="1" x14ac:dyDescent="0.3">
      <c r="A51" s="74"/>
      <c r="B51" s="74"/>
      <c r="C51" s="74"/>
      <c r="D51" s="74"/>
      <c r="E51" s="74"/>
      <c r="F51" s="74"/>
      <c r="G51" s="74"/>
      <c r="H51" s="74"/>
      <c r="I51" s="74"/>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x14ac:dyDescent="0.2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x14ac:dyDescent="0.25">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x14ac:dyDescent="0.25">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row>
    <row r="63" spans="1:80" x14ac:dyDescent="0.25">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row>
    <row r="64" spans="1:80" x14ac:dyDescent="0.25">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row>
    <row r="65" spans="1:8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row>
    <row r="66" spans="1:8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row>
    <row r="67" spans="1:8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row>
    <row r="68" spans="1:8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row>
    <row r="69" spans="1:8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row>
    <row r="70" spans="1:8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row>
    <row r="71" spans="1:8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row>
    <row r="72" spans="1:8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row>
    <row r="73" spans="1:8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row>
    <row r="74" spans="1:8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row>
    <row r="75" spans="1:8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row>
    <row r="76" spans="1:8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row>
    <row r="77" spans="1:8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row>
    <row r="78" spans="1:8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row>
    <row r="79" spans="1:8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row>
    <row r="80" spans="1:8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row>
    <row r="81" spans="1:63"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row>
    <row r="82" spans="1:63"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row>
    <row r="83" spans="1:63"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row>
    <row r="84" spans="1:63"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row>
    <row r="85" spans="1:63"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row>
    <row r="86" spans="1:63"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row>
    <row r="87" spans="1:63"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row>
    <row r="88" spans="1:63"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row>
    <row r="89" spans="1:63"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row>
    <row r="90" spans="1:63"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row>
    <row r="91" spans="1:63"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row>
    <row r="92" spans="1:63"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row>
    <row r="93" spans="1:63"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row>
    <row r="94" spans="1:63"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row>
    <row r="95" spans="1:63"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row>
    <row r="96" spans="1:63"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row>
    <row r="97" spans="1:63"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row>
    <row r="98" spans="1:63"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row>
    <row r="99" spans="1:63"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row>
    <row r="100" spans="1:63"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row>
    <row r="101" spans="1:63"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row>
    <row r="102" spans="1:63"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row>
    <row r="103" spans="1:63"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row>
    <row r="104" spans="1:63"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row>
    <row r="105" spans="1:63"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row>
    <row r="106" spans="1:63"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row>
    <row r="107" spans="1:63"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row>
    <row r="108" spans="1:63"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row>
    <row r="109" spans="1:63"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row>
    <row r="110" spans="1:63"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row>
    <row r="111" spans="1:63"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row>
    <row r="112" spans="1:63"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row>
    <row r="113" spans="1:63"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row>
    <row r="114" spans="1:63"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row>
    <row r="115" spans="1:63"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row>
    <row r="116" spans="1:63"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row>
    <row r="117" spans="1:63"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row>
    <row r="118" spans="1:63"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row>
    <row r="119" spans="1:63"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row>
    <row r="120" spans="1:63"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c r="BK120" s="74"/>
    </row>
    <row r="121" spans="1:63"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row>
    <row r="122" spans="1:63" x14ac:dyDescent="0.25">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row>
    <row r="123" spans="1:63" x14ac:dyDescent="0.25">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row>
    <row r="124" spans="1:63" x14ac:dyDescent="0.25">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row>
    <row r="125" spans="1:63" x14ac:dyDescent="0.25">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row>
    <row r="126" spans="1:63" x14ac:dyDescent="0.25">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row>
    <row r="127" spans="1:63" x14ac:dyDescent="0.25">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row>
    <row r="128" spans="1:63" x14ac:dyDescent="0.25">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row>
    <row r="129" spans="2:63" x14ac:dyDescent="0.25">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row>
    <row r="130" spans="2:63" x14ac:dyDescent="0.25">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row>
    <row r="131" spans="2:63" x14ac:dyDescent="0.25">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row>
    <row r="132" spans="2:63" x14ac:dyDescent="0.25">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row>
    <row r="133" spans="2:63" x14ac:dyDescent="0.25">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row>
    <row r="134" spans="2:63" x14ac:dyDescent="0.25">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row>
    <row r="135" spans="2:63" x14ac:dyDescent="0.25">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c r="BI135" s="74"/>
      <c r="BJ135" s="74"/>
      <c r="BK135" s="74"/>
    </row>
    <row r="136" spans="2:63" x14ac:dyDescent="0.25">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row>
    <row r="137" spans="2:63" x14ac:dyDescent="0.25">
      <c r="B137" s="74"/>
      <c r="C137" s="74"/>
      <c r="D137" s="74"/>
      <c r="E137" s="74"/>
      <c r="F137" s="74"/>
      <c r="G137" s="74"/>
      <c r="H137" s="74"/>
      <c r="I137" s="74"/>
    </row>
    <row r="138" spans="2:63" x14ac:dyDescent="0.25">
      <c r="B138" s="74"/>
      <c r="C138" s="74"/>
      <c r="D138" s="74"/>
      <c r="E138" s="74"/>
      <c r="F138" s="74"/>
      <c r="G138" s="74"/>
      <c r="H138" s="74"/>
      <c r="I138" s="74"/>
    </row>
    <row r="139" spans="2:63" x14ac:dyDescent="0.25">
      <c r="B139" s="74"/>
      <c r="C139" s="74"/>
      <c r="D139" s="74"/>
      <c r="E139" s="74"/>
      <c r="F139" s="74"/>
      <c r="G139" s="74"/>
      <c r="H139" s="74"/>
      <c r="I139" s="74"/>
    </row>
    <row r="140" spans="2:63" x14ac:dyDescent="0.25">
      <c r="B140" s="74"/>
      <c r="C140" s="74"/>
      <c r="D140" s="74"/>
      <c r="E140" s="74"/>
      <c r="F140" s="74"/>
      <c r="G140" s="74"/>
      <c r="H140" s="74"/>
      <c r="I140" s="74"/>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13" zoomScale="50" zoomScaleNormal="50" workbookViewId="0">
      <selection activeCell="M6" sqref="M6"/>
    </sheetView>
  </sheetViews>
  <sheetFormatPr baseColWidth="10" defaultRowHeight="15" x14ac:dyDescent="0.25"/>
  <cols>
    <col min="2" max="14" width="5.7109375" customWidth="1"/>
    <col min="15" max="15" width="7.140625" bestFit="1" customWidth="1"/>
    <col min="16" max="18" width="5.7109375" customWidth="1"/>
    <col min="19" max="19" width="8.42578125" customWidth="1"/>
    <col min="20" max="23" width="5.7109375" customWidth="1"/>
    <col min="24" max="24" width="7.140625" bestFit="1"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row>
    <row r="2" spans="1:91" ht="18" customHeight="1" x14ac:dyDescent="0.25">
      <c r="A2" s="74"/>
      <c r="B2" s="348" t="s">
        <v>158</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row>
    <row r="3" spans="1:91" ht="18.75" customHeight="1" x14ac:dyDescent="0.25">
      <c r="A3" s="74"/>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row>
    <row r="4" spans="1:91" ht="15" customHeight="1" x14ac:dyDescent="0.25">
      <c r="A4" s="74"/>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row>
    <row r="5" spans="1:91"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row>
    <row r="6" spans="1:91" ht="15" customHeight="1" x14ac:dyDescent="0.25">
      <c r="A6" s="74"/>
      <c r="B6" s="237" t="s">
        <v>4</v>
      </c>
      <c r="C6" s="237"/>
      <c r="D6" s="238"/>
      <c r="E6" s="332" t="s">
        <v>114</v>
      </c>
      <c r="F6" s="333"/>
      <c r="G6" s="333"/>
      <c r="H6" s="333"/>
      <c r="I6" s="350"/>
      <c r="J6" s="37" t="e">
        <f>IF(AND('Mapa final'!#REF!="Muy Alta",'Mapa final'!#REF!="Leve"),CONCATENATE("R1C",'Mapa final'!#REF!),"")</f>
        <v>#REF!</v>
      </c>
      <c r="K6" s="38" t="e">
        <f>IF(AND('Mapa final'!#REF!="Muy Alta",'Mapa final'!#REF!="Leve"),CONCATENATE("R1C",'Mapa final'!#REF!),"")</f>
        <v>#REF!</v>
      </c>
      <c r="L6" s="38" t="e">
        <f>IF(AND('Mapa final'!#REF!="Muy Alta",'Mapa final'!#REF!="Leve"),CONCATENATE("R1C",'Mapa final'!#REF!),"")</f>
        <v>#REF!</v>
      </c>
      <c r="M6" s="38" t="e">
        <f>IF(AND('Mapa final'!#REF!="Muy Alta",'Mapa final'!#REF!="Leve"),CONCATENATE("R1C",'Mapa final'!#REF!),"")</f>
        <v>#REF!</v>
      </c>
      <c r="N6" s="38" t="e">
        <f>IF(AND('Mapa final'!#REF!="Muy Alta",'Mapa final'!#REF!="Leve"),CONCATENATE("R1C",'Mapa final'!#REF!),"")</f>
        <v>#REF!</v>
      </c>
      <c r="O6" s="39" t="e">
        <f>IF(AND('Mapa final'!#REF!="Muy Alta",'Mapa final'!#REF!="Leve"),CONCATENATE("R1C",'Mapa final'!#REF!),"")</f>
        <v>#REF!</v>
      </c>
      <c r="P6" s="37" t="e">
        <f>IF(AND('Mapa final'!#REF!="Muy Alta",'Mapa final'!#REF!="Menor"),CONCATENATE("R1C",'Mapa final'!#REF!),"")</f>
        <v>#REF!</v>
      </c>
      <c r="Q6" s="38" t="e">
        <f>IF(AND('Mapa final'!#REF!="Muy Alta",'Mapa final'!#REF!="Menor"),CONCATENATE("R1C",'Mapa final'!#REF!),"")</f>
        <v>#REF!</v>
      </c>
      <c r="R6" s="38" t="e">
        <f>IF(AND('Mapa final'!#REF!="Muy Alta",'Mapa final'!#REF!="Menor"),CONCATENATE("R1C",'Mapa final'!#REF!),"")</f>
        <v>#REF!</v>
      </c>
      <c r="S6" s="38" t="e">
        <f>IF(AND('Mapa final'!#REF!="Muy Alta",'Mapa final'!#REF!="Menor"),CONCATENATE("R1C",'Mapa final'!#REF!),"")</f>
        <v>#REF!</v>
      </c>
      <c r="T6" s="38" t="e">
        <f>IF(AND('Mapa final'!#REF!="Muy Alta",'Mapa final'!#REF!="Menor"),CONCATENATE("R1C",'Mapa final'!#REF!),"")</f>
        <v>#REF!</v>
      </c>
      <c r="U6" s="39" t="e">
        <f>IF(AND('Mapa final'!#REF!="Muy Alta",'Mapa final'!#REF!="Menor"),CONCATENATE("R1C",'Mapa final'!#REF!),"")</f>
        <v>#REF!</v>
      </c>
      <c r="V6" s="37" t="e">
        <f>IF(AND('Mapa final'!#REF!="Muy Alta",'Mapa final'!#REF!="Moderado"),CONCATENATE("R1C",'Mapa final'!#REF!),"")</f>
        <v>#REF!</v>
      </c>
      <c r="W6" s="38" t="e">
        <f>IF(AND('Mapa final'!#REF!="Muy Alta",'Mapa final'!#REF!="Moderado"),CONCATENATE("R1C",'Mapa final'!#REF!),"")</f>
        <v>#REF!</v>
      </c>
      <c r="X6" s="38" t="e">
        <f>IF(AND('Mapa final'!#REF!="Muy Alta",'Mapa final'!#REF!="Moderado"),CONCATENATE("R1C",'Mapa final'!#REF!),"")</f>
        <v>#REF!</v>
      </c>
      <c r="Y6" s="38" t="e">
        <f>IF(AND('Mapa final'!#REF!="Muy Alta",'Mapa final'!#REF!="Moderado"),CONCATENATE("R1C",'Mapa final'!#REF!),"")</f>
        <v>#REF!</v>
      </c>
      <c r="Z6" s="38" t="e">
        <f>IF(AND('Mapa final'!#REF!="Muy Alta",'Mapa final'!#REF!="Moderado"),CONCATENATE("R1C",'Mapa final'!#REF!),"")</f>
        <v>#REF!</v>
      </c>
      <c r="AA6" s="39" t="e">
        <f>IF(AND('Mapa final'!#REF!="Muy Alta",'Mapa final'!#REF!="Moderado"),CONCATENATE("R1C",'Mapa final'!#REF!),"")</f>
        <v>#REF!</v>
      </c>
      <c r="AB6" s="37" t="e">
        <f>IF(AND('Mapa final'!#REF!="Muy Alta",'Mapa final'!#REF!="Mayor"),CONCATENATE("R1C",'Mapa final'!#REF!),"")</f>
        <v>#REF!</v>
      </c>
      <c r="AC6" s="38" t="e">
        <f>IF(AND('Mapa final'!#REF!="Muy Alta",'Mapa final'!#REF!="Mayor"),CONCATENATE("R1C",'Mapa final'!#REF!),"")</f>
        <v>#REF!</v>
      </c>
      <c r="AD6" s="38" t="e">
        <f>IF(AND('Mapa final'!#REF!="Muy Alta",'Mapa final'!#REF!="Mayor"),CONCATENATE("R1C",'Mapa final'!#REF!),"")</f>
        <v>#REF!</v>
      </c>
      <c r="AE6" s="38" t="e">
        <f>IF(AND('Mapa final'!#REF!="Muy Alta",'Mapa final'!#REF!="Mayor"),CONCATENATE("R1C",'Mapa final'!#REF!),"")</f>
        <v>#REF!</v>
      </c>
      <c r="AF6" s="38" t="e">
        <f>IF(AND('Mapa final'!#REF!="Muy Alta",'Mapa final'!#REF!="Mayor"),CONCATENATE("R1C",'Mapa final'!#REF!),"")</f>
        <v>#REF!</v>
      </c>
      <c r="AG6" s="39" t="e">
        <f>IF(AND('Mapa final'!#REF!="Muy Alta",'Mapa final'!#REF!="Mayor"),CONCATENATE("R1C",'Mapa final'!#REF!),"")</f>
        <v>#REF!</v>
      </c>
      <c r="AH6" s="40" t="e">
        <f>IF(AND('Mapa final'!#REF!="Muy Alta",'Mapa final'!#REF!="Catastrófico"),CONCATENATE("R1C",'Mapa final'!#REF!),"")</f>
        <v>#REF!</v>
      </c>
      <c r="AI6" s="41" t="e">
        <f>IF(AND('Mapa final'!#REF!="Muy Alta",'Mapa final'!#REF!="Catastrófico"),CONCATENATE("R1C",'Mapa final'!#REF!),"")</f>
        <v>#REF!</v>
      </c>
      <c r="AJ6" s="41" t="e">
        <f>IF(AND('Mapa final'!#REF!="Muy Alta",'Mapa final'!#REF!="Catastrófico"),CONCATENATE("R1C",'Mapa final'!#REF!),"")</f>
        <v>#REF!</v>
      </c>
      <c r="AK6" s="41" t="e">
        <f>IF(AND('Mapa final'!#REF!="Muy Alta",'Mapa final'!#REF!="Catastrófico"),CONCATENATE("R1C",'Mapa final'!#REF!),"")</f>
        <v>#REF!</v>
      </c>
      <c r="AL6" s="41" t="e">
        <f>IF(AND('Mapa final'!#REF!="Muy Alta",'Mapa final'!#REF!="Catastrófico"),CONCATENATE("R1C",'Mapa final'!#REF!),"")</f>
        <v>#REF!</v>
      </c>
      <c r="AM6" s="42" t="e">
        <f>IF(AND('Mapa final'!#REF!="Muy Alta",'Mapa final'!#REF!="Catastrófico"),CONCATENATE("R1C",'Mapa final'!#REF!),"")</f>
        <v>#REF!</v>
      </c>
      <c r="AN6" s="74"/>
      <c r="AO6" s="339" t="s">
        <v>79</v>
      </c>
      <c r="AP6" s="340"/>
      <c r="AQ6" s="340"/>
      <c r="AR6" s="340"/>
      <c r="AS6" s="340"/>
      <c r="AT6" s="341"/>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row>
    <row r="7" spans="1:91" ht="15" customHeight="1" x14ac:dyDescent="0.25">
      <c r="A7" s="74"/>
      <c r="B7" s="237"/>
      <c r="C7" s="237"/>
      <c r="D7" s="238"/>
      <c r="E7" s="336"/>
      <c r="F7" s="335"/>
      <c r="G7" s="335"/>
      <c r="H7" s="335"/>
      <c r="I7" s="351"/>
      <c r="J7" s="43" t="e">
        <f>IF(AND('Mapa final'!#REF!="Muy Alta",'Mapa final'!#REF!="Leve"),CONCATENATE("R2C",'Mapa final'!#REF!),"")</f>
        <v>#REF!</v>
      </c>
      <c r="K7" s="44" t="e">
        <f>IF(AND('Mapa final'!#REF!="Muy Alta",'Mapa final'!#REF!="Leve"),CONCATENATE("R2C",'Mapa final'!#REF!),"")</f>
        <v>#REF!</v>
      </c>
      <c r="L7" s="44" t="e">
        <f>IF(AND('Mapa final'!#REF!="Muy Alta",'Mapa final'!#REF!="Leve"),CONCATENATE("R2C",'Mapa final'!#REF!),"")</f>
        <v>#REF!</v>
      </c>
      <c r="M7" s="44" t="e">
        <f>IF(AND('Mapa final'!#REF!="Muy Alta",'Mapa final'!#REF!="Leve"),CONCATENATE("R2C",'Mapa final'!#REF!),"")</f>
        <v>#REF!</v>
      </c>
      <c r="N7" s="44" t="e">
        <f>IF(AND('Mapa final'!#REF!="Muy Alta",'Mapa final'!#REF!="Leve"),CONCATENATE("R2C",'Mapa final'!#REF!),"")</f>
        <v>#REF!</v>
      </c>
      <c r="O7" s="45" t="e">
        <f>IF(AND('Mapa final'!#REF!="Muy Alta",'Mapa final'!#REF!="Leve"),CONCATENATE("R2C",'Mapa final'!#REF!),"")</f>
        <v>#REF!</v>
      </c>
      <c r="P7" s="43" t="e">
        <f>IF(AND('Mapa final'!#REF!="Muy Alta",'Mapa final'!#REF!="Menor"),CONCATENATE("R2C",'Mapa final'!#REF!),"")</f>
        <v>#REF!</v>
      </c>
      <c r="Q7" s="44" t="e">
        <f>IF(AND('Mapa final'!#REF!="Muy Alta",'Mapa final'!#REF!="Menor"),CONCATENATE("R2C",'Mapa final'!#REF!),"")</f>
        <v>#REF!</v>
      </c>
      <c r="R7" s="44" t="e">
        <f>IF(AND('Mapa final'!#REF!="Muy Alta",'Mapa final'!#REF!="Menor"),CONCATENATE("R2C",'Mapa final'!#REF!),"")</f>
        <v>#REF!</v>
      </c>
      <c r="S7" s="44" t="e">
        <f>IF(AND('Mapa final'!#REF!="Muy Alta",'Mapa final'!#REF!="Menor"),CONCATENATE("R2C",'Mapa final'!#REF!),"")</f>
        <v>#REF!</v>
      </c>
      <c r="T7" s="44" t="e">
        <f>IF(AND('Mapa final'!#REF!="Muy Alta",'Mapa final'!#REF!="Menor"),CONCATENATE("R2C",'Mapa final'!#REF!),"")</f>
        <v>#REF!</v>
      </c>
      <c r="U7" s="45" t="e">
        <f>IF(AND('Mapa final'!#REF!="Muy Alta",'Mapa final'!#REF!="Menor"),CONCATENATE("R2C",'Mapa final'!#REF!),"")</f>
        <v>#REF!</v>
      </c>
      <c r="V7" s="43" t="e">
        <f>IF(AND('Mapa final'!#REF!="Muy Alta",'Mapa final'!#REF!="Moderado"),CONCATENATE("R2C",'Mapa final'!#REF!),"")</f>
        <v>#REF!</v>
      </c>
      <c r="W7" s="44" t="e">
        <f>IF(AND('Mapa final'!#REF!="Muy Alta",'Mapa final'!#REF!="Moderado"),CONCATENATE("R2C",'Mapa final'!#REF!),"")</f>
        <v>#REF!</v>
      </c>
      <c r="X7" s="44" t="e">
        <f>IF(AND('Mapa final'!#REF!="Muy Alta",'Mapa final'!#REF!="Moderado"),CONCATENATE("R2C",'Mapa final'!#REF!),"")</f>
        <v>#REF!</v>
      </c>
      <c r="Y7" s="44" t="e">
        <f>IF(AND('Mapa final'!#REF!="Muy Alta",'Mapa final'!#REF!="Moderado"),CONCATENATE("R2C",'Mapa final'!#REF!),"")</f>
        <v>#REF!</v>
      </c>
      <c r="Z7" s="44" t="e">
        <f>IF(AND('Mapa final'!#REF!="Muy Alta",'Mapa final'!#REF!="Moderado"),CONCATENATE("R2C",'Mapa final'!#REF!),"")</f>
        <v>#REF!</v>
      </c>
      <c r="AA7" s="45" t="e">
        <f>IF(AND('Mapa final'!#REF!="Muy Alta",'Mapa final'!#REF!="Moderado"),CONCATENATE("R2C",'Mapa final'!#REF!),"")</f>
        <v>#REF!</v>
      </c>
      <c r="AB7" s="43" t="e">
        <f>IF(AND('Mapa final'!#REF!="Muy Alta",'Mapa final'!#REF!="Mayor"),CONCATENATE("R2C",'Mapa final'!#REF!),"")</f>
        <v>#REF!</v>
      </c>
      <c r="AC7" s="44" t="e">
        <f>IF(AND('Mapa final'!#REF!="Muy Alta",'Mapa final'!#REF!="Mayor"),CONCATENATE("R2C",'Mapa final'!#REF!),"")</f>
        <v>#REF!</v>
      </c>
      <c r="AD7" s="44" t="e">
        <f>IF(AND('Mapa final'!#REF!="Muy Alta",'Mapa final'!#REF!="Mayor"),CONCATENATE("R2C",'Mapa final'!#REF!),"")</f>
        <v>#REF!</v>
      </c>
      <c r="AE7" s="44" t="e">
        <f>IF(AND('Mapa final'!#REF!="Muy Alta",'Mapa final'!#REF!="Mayor"),CONCATENATE("R2C",'Mapa final'!#REF!),"")</f>
        <v>#REF!</v>
      </c>
      <c r="AF7" s="44" t="e">
        <f>IF(AND('Mapa final'!#REF!="Muy Alta",'Mapa final'!#REF!="Mayor"),CONCATENATE("R2C",'Mapa final'!#REF!),"")</f>
        <v>#REF!</v>
      </c>
      <c r="AG7" s="45" t="e">
        <f>IF(AND('Mapa final'!#REF!="Muy Alta",'Mapa final'!#REF!="Mayor"),CONCATENATE("R2C",'Mapa final'!#REF!),"")</f>
        <v>#REF!</v>
      </c>
      <c r="AH7" s="46" t="e">
        <f>IF(AND('Mapa final'!#REF!="Muy Alta",'Mapa final'!#REF!="Catastrófico"),CONCATENATE("R2C",'Mapa final'!#REF!),"")</f>
        <v>#REF!</v>
      </c>
      <c r="AI7" s="47" t="e">
        <f>IF(AND('Mapa final'!#REF!="Muy Alta",'Mapa final'!#REF!="Catastrófico"),CONCATENATE("R2C",'Mapa final'!#REF!),"")</f>
        <v>#REF!</v>
      </c>
      <c r="AJ7" s="47" t="e">
        <f>IF(AND('Mapa final'!#REF!="Muy Alta",'Mapa final'!#REF!="Catastrófico"),CONCATENATE("R2C",'Mapa final'!#REF!),"")</f>
        <v>#REF!</v>
      </c>
      <c r="AK7" s="47" t="e">
        <f>IF(AND('Mapa final'!#REF!="Muy Alta",'Mapa final'!#REF!="Catastrófico"),CONCATENATE("R2C",'Mapa final'!#REF!),"")</f>
        <v>#REF!</v>
      </c>
      <c r="AL7" s="47" t="e">
        <f>IF(AND('Mapa final'!#REF!="Muy Alta",'Mapa final'!#REF!="Catastrófico"),CONCATENATE("R2C",'Mapa final'!#REF!),"")</f>
        <v>#REF!</v>
      </c>
      <c r="AM7" s="48" t="e">
        <f>IF(AND('Mapa final'!#REF!="Muy Alta",'Mapa final'!#REF!="Catastrófico"),CONCATENATE("R2C",'Mapa final'!#REF!),"")</f>
        <v>#REF!</v>
      </c>
      <c r="AN7" s="74"/>
      <c r="AO7" s="342"/>
      <c r="AP7" s="343"/>
      <c r="AQ7" s="343"/>
      <c r="AR7" s="343"/>
      <c r="AS7" s="343"/>
      <c r="AT7" s="34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row>
    <row r="8" spans="1:91" ht="15" customHeight="1" x14ac:dyDescent="0.25">
      <c r="A8" s="74"/>
      <c r="B8" s="237"/>
      <c r="C8" s="237"/>
      <c r="D8" s="238"/>
      <c r="E8" s="336"/>
      <c r="F8" s="335"/>
      <c r="G8" s="335"/>
      <c r="H8" s="335"/>
      <c r="I8" s="351"/>
      <c r="J8" s="43" t="str">
        <f ca="1">IF(AND('Mapa final'!$Y$10="Muy Alta",'Mapa final'!$AA$10="Leve"),CONCATENATE("R3C",'Mapa final'!$O$10),"")</f>
        <v/>
      </c>
      <c r="K8" s="44" t="str">
        <f>IF(AND('Mapa final'!$Y$11="Muy Alta",'Mapa final'!$AA$11="Leve"),CONCATENATE("R3C",'Mapa final'!$O$11),"")</f>
        <v/>
      </c>
      <c r="L8" s="44" t="str">
        <f>IF(AND('Mapa final'!$Y$12="Muy Alta",'Mapa final'!$AA$12="Leve"),CONCATENATE("R3C",'Mapa final'!$O$12),"")</f>
        <v/>
      </c>
      <c r="M8" s="44" t="str">
        <f>IF(AND('Mapa final'!$Y$13="Muy Alta",'Mapa final'!$AA$13="Leve"),CONCATENATE("R3C",'Mapa final'!$O$13),"")</f>
        <v/>
      </c>
      <c r="N8" s="44" t="str">
        <f>IF(AND('Mapa final'!$Y$14="Muy Alta",'Mapa final'!$AA$14="Leve"),CONCATENATE("R3C",'Mapa final'!$O$14),"")</f>
        <v/>
      </c>
      <c r="O8" s="45" t="str">
        <f>IF(AND('Mapa final'!$Y$15="Muy Alta",'Mapa final'!$AA$15="Leve"),CONCATENATE("R3C",'Mapa final'!$O$15),"")</f>
        <v/>
      </c>
      <c r="P8" s="43" t="str">
        <f ca="1">IF(AND('Mapa final'!$Y$10="Muy Alta",'Mapa final'!$AA$10="Menor"),CONCATENATE("R3C",'Mapa final'!$O$10),"")</f>
        <v/>
      </c>
      <c r="Q8" s="44" t="str">
        <f>IF(AND('Mapa final'!$Y$11="Muy Alta",'Mapa final'!$AA$11="Menor"),CONCATENATE("R3C",'Mapa final'!$O$11),"")</f>
        <v/>
      </c>
      <c r="R8" s="44" t="str">
        <f>IF(AND('Mapa final'!$Y$12="Muy Alta",'Mapa final'!$AA$12="Menor"),CONCATENATE("R3C",'Mapa final'!$O$12),"")</f>
        <v/>
      </c>
      <c r="S8" s="44" t="str">
        <f>IF(AND('Mapa final'!$Y$13="Muy Alta",'Mapa final'!$AA$13="Menor"),CONCATENATE("R3C",'Mapa final'!$O$13),"")</f>
        <v/>
      </c>
      <c r="T8" s="44" t="str">
        <f>IF(AND('Mapa final'!$Y$14="Muy Alta",'Mapa final'!$AA$14="Menor"),CONCATENATE("R3C",'Mapa final'!$O$14),"")</f>
        <v/>
      </c>
      <c r="U8" s="45" t="str">
        <f>IF(AND('Mapa final'!$Y$15="Muy Alta",'Mapa final'!$AA$15="Menor"),CONCATENATE("R3C",'Mapa final'!$O$15),"")</f>
        <v/>
      </c>
      <c r="V8" s="43" t="str">
        <f ca="1">IF(AND('Mapa final'!$Y$10="Muy Alta",'Mapa final'!$AA$10="Moderado"),CONCATENATE("R3C",'Mapa final'!$O$10),"")</f>
        <v/>
      </c>
      <c r="W8" s="44" t="str">
        <f>IF(AND('Mapa final'!$Y$11="Muy Alta",'Mapa final'!$AA$11="Moderado"),CONCATENATE("R3C",'Mapa final'!$O$11),"")</f>
        <v/>
      </c>
      <c r="X8" s="44" t="str">
        <f>IF(AND('Mapa final'!$Y$12="Muy Alta",'Mapa final'!$AA$12="Moderado"),CONCATENATE("R3C",'Mapa final'!$O$12),"")</f>
        <v/>
      </c>
      <c r="Y8" s="44" t="str">
        <f>IF(AND('Mapa final'!$Y$13="Muy Alta",'Mapa final'!$AA$13="Moderado"),CONCATENATE("R3C",'Mapa final'!$O$13),"")</f>
        <v/>
      </c>
      <c r="Z8" s="44" t="str">
        <f>IF(AND('Mapa final'!$Y$14="Muy Alta",'Mapa final'!$AA$14="Moderado"),CONCATENATE("R3C",'Mapa final'!$O$14),"")</f>
        <v/>
      </c>
      <c r="AA8" s="45" t="str">
        <f>IF(AND('Mapa final'!$Y$15="Muy Alta",'Mapa final'!$AA$15="Moderado"),CONCATENATE("R3C",'Mapa final'!$O$15),"")</f>
        <v/>
      </c>
      <c r="AB8" s="43" t="str">
        <f ca="1">IF(AND('Mapa final'!$Y$10="Muy Alta",'Mapa final'!$AA$10="Mayor"),CONCATENATE("R3C",'Mapa final'!$O$10),"")</f>
        <v/>
      </c>
      <c r="AC8" s="44" t="str">
        <f>IF(AND('Mapa final'!$Y$11="Muy Alta",'Mapa final'!$AA$11="Mayor"),CONCATENATE("R3C",'Mapa final'!$O$11),"")</f>
        <v/>
      </c>
      <c r="AD8" s="44" t="str">
        <f>IF(AND('Mapa final'!$Y$12="Muy Alta",'Mapa final'!$AA$12="Mayor"),CONCATENATE("R3C",'Mapa final'!$O$12),"")</f>
        <v/>
      </c>
      <c r="AE8" s="44" t="str">
        <f>IF(AND('Mapa final'!$Y$13="Muy Alta",'Mapa final'!$AA$13="Mayor"),CONCATENATE("R3C",'Mapa final'!$O$13),"")</f>
        <v/>
      </c>
      <c r="AF8" s="44" t="str">
        <f>IF(AND('Mapa final'!$Y$14="Muy Alta",'Mapa final'!$AA$14="Mayor"),CONCATENATE("R3C",'Mapa final'!$O$14),"")</f>
        <v/>
      </c>
      <c r="AG8" s="45" t="str">
        <f>IF(AND('Mapa final'!$Y$15="Muy Alta",'Mapa final'!$AA$15="Mayor"),CONCATENATE("R3C",'Mapa final'!$O$15),"")</f>
        <v/>
      </c>
      <c r="AH8" s="46" t="str">
        <f ca="1">IF(AND('Mapa final'!$Y$10="Muy Alta",'Mapa final'!$AA$10="Catastrófico"),CONCATENATE("R3C",'Mapa final'!$O$10),"")</f>
        <v/>
      </c>
      <c r="AI8" s="47" t="str">
        <f>IF(AND('Mapa final'!$Y$11="Muy Alta",'Mapa final'!$AA$11="Catastrófico"),CONCATENATE("R3C",'Mapa final'!$O$11),"")</f>
        <v/>
      </c>
      <c r="AJ8" s="47" t="str">
        <f>IF(AND('Mapa final'!$Y$12="Muy Alta",'Mapa final'!$AA$12="Catastrófico"),CONCATENATE("R3C",'Mapa final'!$O$12),"")</f>
        <v/>
      </c>
      <c r="AK8" s="47" t="str">
        <f>IF(AND('Mapa final'!$Y$13="Muy Alta",'Mapa final'!$AA$13="Catastrófico"),CONCATENATE("R3C",'Mapa final'!$O$13),"")</f>
        <v/>
      </c>
      <c r="AL8" s="47" t="str">
        <f>IF(AND('Mapa final'!$Y$14="Muy Alta",'Mapa final'!$AA$14="Catastrófico"),CONCATENATE("R3C",'Mapa final'!$O$14),"")</f>
        <v/>
      </c>
      <c r="AM8" s="48" t="str">
        <f>IF(AND('Mapa final'!$Y$15="Muy Alta",'Mapa final'!$AA$15="Catastrófico"),CONCATENATE("R3C",'Mapa final'!$O$15),"")</f>
        <v/>
      </c>
      <c r="AN8" s="74"/>
      <c r="AO8" s="342"/>
      <c r="AP8" s="343"/>
      <c r="AQ8" s="343"/>
      <c r="AR8" s="343"/>
      <c r="AS8" s="343"/>
      <c r="AT8" s="34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row>
    <row r="9" spans="1:91" ht="15" customHeight="1" x14ac:dyDescent="0.25">
      <c r="A9" s="74"/>
      <c r="B9" s="237"/>
      <c r="C9" s="237"/>
      <c r="D9" s="238"/>
      <c r="E9" s="336"/>
      <c r="F9" s="335"/>
      <c r="G9" s="335"/>
      <c r="H9" s="335"/>
      <c r="I9" s="351"/>
      <c r="J9" s="43" t="e">
        <f>IF(AND('Mapa final'!#REF!="Muy Alta",'Mapa final'!#REF!="Leve"),CONCATENATE("R4C",'Mapa final'!#REF!),"")</f>
        <v>#REF!</v>
      </c>
      <c r="K9" s="44" t="e">
        <f>IF(AND('Mapa final'!#REF!="Muy Alta",'Mapa final'!#REF!="Leve"),CONCATENATE("R4C",'Mapa final'!#REF!),"")</f>
        <v>#REF!</v>
      </c>
      <c r="L9" s="44" t="e">
        <f>IF(AND('Mapa final'!#REF!="Muy Alta",'Mapa final'!#REF!="Leve"),CONCATENATE("R4C",'Mapa final'!#REF!),"")</f>
        <v>#REF!</v>
      </c>
      <c r="M9" s="44" t="e">
        <f>IF(AND('Mapa final'!#REF!="Muy Alta",'Mapa final'!#REF!="Leve"),CONCATENATE("R4C",'Mapa final'!#REF!),"")</f>
        <v>#REF!</v>
      </c>
      <c r="N9" s="44" t="e">
        <f>IF(AND('Mapa final'!#REF!="Muy Alta",'Mapa final'!#REF!="Leve"),CONCATENATE("R4C",'Mapa final'!#REF!),"")</f>
        <v>#REF!</v>
      </c>
      <c r="O9" s="45" t="e">
        <f>IF(AND('Mapa final'!#REF!="Muy Alta",'Mapa final'!#REF!="Leve"),CONCATENATE("R4C",'Mapa final'!#REF!),"")</f>
        <v>#REF!</v>
      </c>
      <c r="P9" s="43" t="e">
        <f>IF(AND('Mapa final'!#REF!="Muy Alta",'Mapa final'!#REF!="Menor"),CONCATENATE("R4C",'Mapa final'!#REF!),"")</f>
        <v>#REF!</v>
      </c>
      <c r="Q9" s="44" t="e">
        <f>IF(AND('Mapa final'!#REF!="Muy Alta",'Mapa final'!#REF!="Menor"),CONCATENATE("R4C",'Mapa final'!#REF!),"")</f>
        <v>#REF!</v>
      </c>
      <c r="R9" s="44" t="e">
        <f>IF(AND('Mapa final'!#REF!="Muy Alta",'Mapa final'!#REF!="Menor"),CONCATENATE("R4C",'Mapa final'!#REF!),"")</f>
        <v>#REF!</v>
      </c>
      <c r="S9" s="44" t="e">
        <f>IF(AND('Mapa final'!#REF!="Muy Alta",'Mapa final'!#REF!="Menor"),CONCATENATE("R4C",'Mapa final'!#REF!),"")</f>
        <v>#REF!</v>
      </c>
      <c r="T9" s="44" t="e">
        <f>IF(AND('Mapa final'!#REF!="Muy Alta",'Mapa final'!#REF!="Menor"),CONCATENATE("R4C",'Mapa final'!#REF!),"")</f>
        <v>#REF!</v>
      </c>
      <c r="U9" s="45" t="e">
        <f>IF(AND('Mapa final'!#REF!="Muy Alta",'Mapa final'!#REF!="Menor"),CONCATENATE("R4C",'Mapa final'!#REF!),"")</f>
        <v>#REF!</v>
      </c>
      <c r="V9" s="43" t="e">
        <f>IF(AND('Mapa final'!#REF!="Muy Alta",'Mapa final'!#REF!="Moderado"),CONCATENATE("R4C",'Mapa final'!#REF!),"")</f>
        <v>#REF!</v>
      </c>
      <c r="W9" s="44" t="e">
        <f>IF(AND('Mapa final'!#REF!="Muy Alta",'Mapa final'!#REF!="Moderado"),CONCATENATE("R4C",'Mapa final'!#REF!),"")</f>
        <v>#REF!</v>
      </c>
      <c r="X9" s="44" t="e">
        <f>IF(AND('Mapa final'!#REF!="Muy Alta",'Mapa final'!#REF!="Moderado"),CONCATENATE("R4C",'Mapa final'!#REF!),"")</f>
        <v>#REF!</v>
      </c>
      <c r="Y9" s="44" t="e">
        <f>IF(AND('Mapa final'!#REF!="Muy Alta",'Mapa final'!#REF!="Moderado"),CONCATENATE("R4C",'Mapa final'!#REF!),"")</f>
        <v>#REF!</v>
      </c>
      <c r="Z9" s="44" t="e">
        <f>IF(AND('Mapa final'!#REF!="Muy Alta",'Mapa final'!#REF!="Moderado"),CONCATENATE("R4C",'Mapa final'!#REF!),"")</f>
        <v>#REF!</v>
      </c>
      <c r="AA9" s="45" t="e">
        <f>IF(AND('Mapa final'!#REF!="Muy Alta",'Mapa final'!#REF!="Moderado"),CONCATENATE("R4C",'Mapa final'!#REF!),"")</f>
        <v>#REF!</v>
      </c>
      <c r="AB9" s="43" t="e">
        <f>IF(AND('Mapa final'!#REF!="Muy Alta",'Mapa final'!#REF!="Mayor"),CONCATENATE("R4C",'Mapa final'!#REF!),"")</f>
        <v>#REF!</v>
      </c>
      <c r="AC9" s="44" t="e">
        <f>IF(AND('Mapa final'!#REF!="Muy Alta",'Mapa final'!#REF!="Mayor"),CONCATENATE("R4C",'Mapa final'!#REF!),"")</f>
        <v>#REF!</v>
      </c>
      <c r="AD9" s="44" t="e">
        <f>IF(AND('Mapa final'!#REF!="Muy Alta",'Mapa final'!#REF!="Mayor"),CONCATENATE("R4C",'Mapa final'!#REF!),"")</f>
        <v>#REF!</v>
      </c>
      <c r="AE9" s="44" t="e">
        <f>IF(AND('Mapa final'!#REF!="Muy Alta",'Mapa final'!#REF!="Mayor"),CONCATENATE("R4C",'Mapa final'!#REF!),"")</f>
        <v>#REF!</v>
      </c>
      <c r="AF9" s="44" t="e">
        <f>IF(AND('Mapa final'!#REF!="Muy Alta",'Mapa final'!#REF!="Mayor"),CONCATENATE("R4C",'Mapa final'!#REF!),"")</f>
        <v>#REF!</v>
      </c>
      <c r="AG9" s="45" t="e">
        <f>IF(AND('Mapa final'!#REF!="Muy Alta",'Mapa final'!#REF!="Mayor"),CONCATENATE("R4C",'Mapa final'!#REF!),"")</f>
        <v>#REF!</v>
      </c>
      <c r="AH9" s="46" t="e">
        <f>IF(AND('Mapa final'!#REF!="Muy Alta",'Mapa final'!#REF!="Catastrófico"),CONCATENATE("R4C",'Mapa final'!#REF!),"")</f>
        <v>#REF!</v>
      </c>
      <c r="AI9" s="47" t="e">
        <f>IF(AND('Mapa final'!#REF!="Muy Alta",'Mapa final'!#REF!="Catastrófico"),CONCATENATE("R4C",'Mapa final'!#REF!),"")</f>
        <v>#REF!</v>
      </c>
      <c r="AJ9" s="47" t="e">
        <f>IF(AND('Mapa final'!#REF!="Muy Alta",'Mapa final'!#REF!="Catastrófico"),CONCATENATE("R4C",'Mapa final'!#REF!),"")</f>
        <v>#REF!</v>
      </c>
      <c r="AK9" s="47" t="e">
        <f>IF(AND('Mapa final'!#REF!="Muy Alta",'Mapa final'!#REF!="Catastrófico"),CONCATENATE("R4C",'Mapa final'!#REF!),"")</f>
        <v>#REF!</v>
      </c>
      <c r="AL9" s="47" t="e">
        <f>IF(AND('Mapa final'!#REF!="Muy Alta",'Mapa final'!#REF!="Catastrófico"),CONCATENATE("R4C",'Mapa final'!#REF!),"")</f>
        <v>#REF!</v>
      </c>
      <c r="AM9" s="48" t="e">
        <f>IF(AND('Mapa final'!#REF!="Muy Alta",'Mapa final'!#REF!="Catastrófico"),CONCATENATE("R4C",'Mapa final'!#REF!),"")</f>
        <v>#REF!</v>
      </c>
      <c r="AN9" s="74"/>
      <c r="AO9" s="342"/>
      <c r="AP9" s="343"/>
      <c r="AQ9" s="343"/>
      <c r="AR9" s="343"/>
      <c r="AS9" s="343"/>
      <c r="AT9" s="34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row>
    <row r="10" spans="1:91" ht="15" customHeight="1" x14ac:dyDescent="0.25">
      <c r="A10" s="74"/>
      <c r="B10" s="237"/>
      <c r="C10" s="237"/>
      <c r="D10" s="238"/>
      <c r="E10" s="336"/>
      <c r="F10" s="335"/>
      <c r="G10" s="335"/>
      <c r="H10" s="335"/>
      <c r="I10" s="351"/>
      <c r="J10" s="43" t="str">
        <f ca="1">IF(AND('Mapa final'!$Y$16="Muy Alta",'Mapa final'!$AA$16="Leve"),CONCATENATE("R5C",'Mapa final'!$O$16),"")</f>
        <v/>
      </c>
      <c r="K10" s="44" t="str">
        <f>IF(AND('Mapa final'!$Y$17="Muy Alta",'Mapa final'!$AA$17="Leve"),CONCATENATE("R5C",'Mapa final'!$O$17),"")</f>
        <v/>
      </c>
      <c r="L10" s="44" t="str">
        <f>IF(AND('Mapa final'!$Y$18="Muy Alta",'Mapa final'!$AA$18="Leve"),CONCATENATE("R5C",'Mapa final'!$O$18),"")</f>
        <v/>
      </c>
      <c r="M10" s="44" t="str">
        <f>IF(AND('Mapa final'!$Y$19="Muy Alta",'Mapa final'!$AA$19="Leve"),CONCATENATE("R5C",'Mapa final'!$O$19),"")</f>
        <v/>
      </c>
      <c r="N10" s="44" t="str">
        <f>IF(AND('Mapa final'!$Y$20="Muy Alta",'Mapa final'!$AA$20="Leve"),CONCATENATE("R5C",'Mapa final'!$O$20),"")</f>
        <v/>
      </c>
      <c r="O10" s="45" t="str">
        <f>IF(AND('Mapa final'!$Y$21="Muy Alta",'Mapa final'!$AA$21="Leve"),CONCATENATE("R5C",'Mapa final'!$O$21),"")</f>
        <v/>
      </c>
      <c r="P10" s="43" t="str">
        <f ca="1">IF(AND('Mapa final'!$Y$16="Muy Alta",'Mapa final'!$AA$16="Menor"),CONCATENATE("R5C",'Mapa final'!$O$16),"")</f>
        <v/>
      </c>
      <c r="Q10" s="44" t="str">
        <f>IF(AND('Mapa final'!$Y$17="Muy Alta",'Mapa final'!$AA$17="Menor"),CONCATENATE("R5C",'Mapa final'!$O$17),"")</f>
        <v/>
      </c>
      <c r="R10" s="44" t="str">
        <f>IF(AND('Mapa final'!$Y$18="Muy Alta",'Mapa final'!$AA$18="Menor"),CONCATENATE("R5C",'Mapa final'!$O$18),"")</f>
        <v/>
      </c>
      <c r="S10" s="44" t="str">
        <f>IF(AND('Mapa final'!$Y$19="Muy Alta",'Mapa final'!$AA$19="Menor"),CONCATENATE("R5C",'Mapa final'!$O$19),"")</f>
        <v/>
      </c>
      <c r="T10" s="44" t="str">
        <f>IF(AND('Mapa final'!$Y$20="Muy Alta",'Mapa final'!$AA$20="Menor"),CONCATENATE("R5C",'Mapa final'!$O$20),"")</f>
        <v/>
      </c>
      <c r="U10" s="45" t="str">
        <f>IF(AND('Mapa final'!$Y$21="Muy Alta",'Mapa final'!$AA$21="Menor"),CONCATENATE("R5C",'Mapa final'!$O$21),"")</f>
        <v/>
      </c>
      <c r="V10" s="43" t="str">
        <f ca="1">IF(AND('Mapa final'!$Y$16="Muy Alta",'Mapa final'!$AA$16="Moderado"),CONCATENATE("R5C",'Mapa final'!$O$16),"")</f>
        <v/>
      </c>
      <c r="W10" s="44" t="str">
        <f>IF(AND('Mapa final'!$Y$17="Muy Alta",'Mapa final'!$AA$17="Moderado"),CONCATENATE("R5C",'Mapa final'!$O$17),"")</f>
        <v/>
      </c>
      <c r="X10" s="44" t="str">
        <f>IF(AND('Mapa final'!$Y$18="Muy Alta",'Mapa final'!$AA$18="Moderado"),CONCATENATE("R5C",'Mapa final'!$O$18),"")</f>
        <v/>
      </c>
      <c r="Y10" s="44" t="str">
        <f>IF(AND('Mapa final'!$Y$19="Muy Alta",'Mapa final'!$AA$19="Moderado"),CONCATENATE("R5C",'Mapa final'!$O$19),"")</f>
        <v/>
      </c>
      <c r="Z10" s="44" t="str">
        <f>IF(AND('Mapa final'!$Y$20="Muy Alta",'Mapa final'!$AA$20="Moderado"),CONCATENATE("R5C",'Mapa final'!$O$20),"")</f>
        <v/>
      </c>
      <c r="AA10" s="45" t="str">
        <f>IF(AND('Mapa final'!$Y$21="Muy Alta",'Mapa final'!$AA$21="Moderado"),CONCATENATE("R5C",'Mapa final'!$O$21),"")</f>
        <v/>
      </c>
      <c r="AB10" s="43" t="str">
        <f ca="1">IF(AND('Mapa final'!$Y$16="Muy Alta",'Mapa final'!$AA$16="Mayor"),CONCATENATE("R5C",'Mapa final'!$O$16),"")</f>
        <v/>
      </c>
      <c r="AC10" s="44" t="str">
        <f>IF(AND('Mapa final'!$Y$17="Muy Alta",'Mapa final'!$AA$17="Mayor"),CONCATENATE("R5C",'Mapa final'!$O$17),"")</f>
        <v/>
      </c>
      <c r="AD10" s="44" t="str">
        <f>IF(AND('Mapa final'!$Y$18="Muy Alta",'Mapa final'!$AA$18="Mayor"),CONCATENATE("R5C",'Mapa final'!$O$18),"")</f>
        <v/>
      </c>
      <c r="AE10" s="44" t="str">
        <f>IF(AND('Mapa final'!$Y$19="Muy Alta",'Mapa final'!$AA$19="Mayor"),CONCATENATE("R5C",'Mapa final'!$O$19),"")</f>
        <v/>
      </c>
      <c r="AF10" s="44" t="str">
        <f>IF(AND('Mapa final'!$Y$20="Muy Alta",'Mapa final'!$AA$20="Mayor"),CONCATENATE("R5C",'Mapa final'!$O$20),"")</f>
        <v/>
      </c>
      <c r="AG10" s="45" t="str">
        <f>IF(AND('Mapa final'!$Y$21="Muy Alta",'Mapa final'!$AA$21="Mayor"),CONCATENATE("R5C",'Mapa final'!$O$21),"")</f>
        <v/>
      </c>
      <c r="AH10" s="46" t="str">
        <f ca="1">IF(AND('Mapa final'!$Y$16="Muy Alta",'Mapa final'!$AA$16="Catastrófico"),CONCATENATE("R5C",'Mapa final'!$O$16),"")</f>
        <v/>
      </c>
      <c r="AI10" s="47" t="str">
        <f>IF(AND('Mapa final'!$Y$17="Muy Alta",'Mapa final'!$AA$17="Catastrófico"),CONCATENATE("R5C",'Mapa final'!$O$17),"")</f>
        <v/>
      </c>
      <c r="AJ10" s="47" t="str">
        <f>IF(AND('Mapa final'!$Y$18="Muy Alta",'Mapa final'!$AA$18="Catastrófico"),CONCATENATE("R5C",'Mapa final'!$O$18),"")</f>
        <v/>
      </c>
      <c r="AK10" s="47" t="str">
        <f>IF(AND('Mapa final'!$Y$19="Muy Alta",'Mapa final'!$AA$19="Catastrófico"),CONCATENATE("R5C",'Mapa final'!$O$19),"")</f>
        <v/>
      </c>
      <c r="AL10" s="47" t="str">
        <f>IF(AND('Mapa final'!$Y$20="Muy Alta",'Mapa final'!$AA$20="Catastrófico"),CONCATENATE("R5C",'Mapa final'!$O$20),"")</f>
        <v/>
      </c>
      <c r="AM10" s="48" t="str">
        <f>IF(AND('Mapa final'!$Y$21="Muy Alta",'Mapa final'!$AA$21="Catastrófico"),CONCATENATE("R5C",'Mapa final'!$O$21),"")</f>
        <v/>
      </c>
      <c r="AN10" s="74"/>
      <c r="AO10" s="342"/>
      <c r="AP10" s="343"/>
      <c r="AQ10" s="343"/>
      <c r="AR10" s="343"/>
      <c r="AS10" s="343"/>
      <c r="AT10" s="34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row>
    <row r="11" spans="1:91" ht="15" customHeight="1" x14ac:dyDescent="0.25">
      <c r="A11" s="74"/>
      <c r="B11" s="237"/>
      <c r="C11" s="237"/>
      <c r="D11" s="238"/>
      <c r="E11" s="336"/>
      <c r="F11" s="335"/>
      <c r="G11" s="335"/>
      <c r="H11" s="335"/>
      <c r="I11" s="351"/>
      <c r="J11" s="43" t="str">
        <f ca="1">IF(AND('Mapa final'!$Y$28="Muy Alta",'Mapa final'!$AA$28="Leve"),CONCATENATE("R6C",'Mapa final'!$O$28),"")</f>
        <v/>
      </c>
      <c r="K11" s="44" t="str">
        <f ca="1">IF(AND('Mapa final'!$Y$29="Muy Alta",'Mapa final'!$AA$29="Leve"),CONCATENATE("R6C",'Mapa final'!$O$29),"")</f>
        <v/>
      </c>
      <c r="L11" s="44" t="str">
        <f>IF(AND('Mapa final'!$Y$30="Muy Alta",'Mapa final'!$AA$30="Leve"),CONCATENATE("R6C",'Mapa final'!$O$30),"")</f>
        <v/>
      </c>
      <c r="M11" s="44" t="str">
        <f>IF(AND('Mapa final'!$Y$31="Muy Alta",'Mapa final'!$AA$31="Leve"),CONCATENATE("R6C",'Mapa final'!$O$31),"")</f>
        <v/>
      </c>
      <c r="N11" s="44" t="str">
        <f>IF(AND('Mapa final'!$Y$32="Muy Alta",'Mapa final'!$AA$32="Leve"),CONCATENATE("R6C",'Mapa final'!$O$32),"")</f>
        <v/>
      </c>
      <c r="O11" s="45" t="str">
        <f>IF(AND('Mapa final'!$Y$33="Muy Alta",'Mapa final'!$AA$33="Leve"),CONCATENATE("R6C",'Mapa final'!$O$33),"")</f>
        <v/>
      </c>
      <c r="P11" s="43" t="str">
        <f ca="1">IF(AND('Mapa final'!$Y$28="Muy Alta",'Mapa final'!$AA$28="Menor"),CONCATENATE("R6C",'Mapa final'!$O$28),"")</f>
        <v/>
      </c>
      <c r="Q11" s="44" t="str">
        <f ca="1">IF(AND('Mapa final'!$Y$29="Muy Alta",'Mapa final'!$AA$29="Menor"),CONCATENATE("R6C",'Mapa final'!$O$29),"")</f>
        <v/>
      </c>
      <c r="R11" s="44" t="str">
        <f>IF(AND('Mapa final'!$Y$30="Muy Alta",'Mapa final'!$AA$30="Menor"),CONCATENATE("R6C",'Mapa final'!$O$30),"")</f>
        <v/>
      </c>
      <c r="S11" s="44" t="str">
        <f>IF(AND('Mapa final'!$Y$31="Muy Alta",'Mapa final'!$AA$31="Menor"),CONCATENATE("R6C",'Mapa final'!$O$31),"")</f>
        <v/>
      </c>
      <c r="T11" s="44" t="str">
        <f>IF(AND('Mapa final'!$Y$32="Muy Alta",'Mapa final'!$AA$32="Menor"),CONCATENATE("R6C",'Mapa final'!$O$32),"")</f>
        <v/>
      </c>
      <c r="U11" s="45" t="str">
        <f>IF(AND('Mapa final'!$Y$33="Muy Alta",'Mapa final'!$AA$33="Menor"),CONCATENATE("R6C",'Mapa final'!$O$33),"")</f>
        <v/>
      </c>
      <c r="V11" s="43" t="str">
        <f ca="1">IF(AND('Mapa final'!$Y$28="Muy Alta",'Mapa final'!$AA$28="Moderado"),CONCATENATE("R6C",'Mapa final'!$O$28),"")</f>
        <v/>
      </c>
      <c r="W11" s="44" t="str">
        <f ca="1">IF(AND('Mapa final'!$Y$29="Muy Alta",'Mapa final'!$AA$29="Moderado"),CONCATENATE("R6C",'Mapa final'!$O$29),"")</f>
        <v/>
      </c>
      <c r="X11" s="44" t="str">
        <f>IF(AND('Mapa final'!$Y$30="Muy Alta",'Mapa final'!$AA$30="Moderado"),CONCATENATE("R6C",'Mapa final'!$O$30),"")</f>
        <v/>
      </c>
      <c r="Y11" s="44" t="str">
        <f>IF(AND('Mapa final'!$Y$31="Muy Alta",'Mapa final'!$AA$31="Moderado"),CONCATENATE("R6C",'Mapa final'!$O$31),"")</f>
        <v/>
      </c>
      <c r="Z11" s="44" t="str">
        <f>IF(AND('Mapa final'!$Y$32="Muy Alta",'Mapa final'!$AA$32="Moderado"),CONCATENATE("R6C",'Mapa final'!$O$32),"")</f>
        <v/>
      </c>
      <c r="AA11" s="45" t="str">
        <f>IF(AND('Mapa final'!$Y$33="Muy Alta",'Mapa final'!$AA$33="Moderado"),CONCATENATE("R6C",'Mapa final'!$O$33),"")</f>
        <v/>
      </c>
      <c r="AB11" s="43" t="str">
        <f ca="1">IF(AND('Mapa final'!$Y$28="Muy Alta",'Mapa final'!$AA$28="Mayor"),CONCATENATE("R6C",'Mapa final'!$O$28),"")</f>
        <v/>
      </c>
      <c r="AC11" s="44" t="str">
        <f ca="1">IF(AND('Mapa final'!$Y$29="Muy Alta",'Mapa final'!$AA$29="Mayor"),CONCATENATE("R6C",'Mapa final'!$O$29),"")</f>
        <v/>
      </c>
      <c r="AD11" s="44" t="str">
        <f>IF(AND('Mapa final'!$Y$30="Muy Alta",'Mapa final'!$AA$30="Mayor"),CONCATENATE("R6C",'Mapa final'!$O$30),"")</f>
        <v/>
      </c>
      <c r="AE11" s="44" t="str">
        <f>IF(AND('Mapa final'!$Y$31="Muy Alta",'Mapa final'!$AA$31="Mayor"),CONCATENATE("R6C",'Mapa final'!$O$31),"")</f>
        <v/>
      </c>
      <c r="AF11" s="44" t="str">
        <f>IF(AND('Mapa final'!$Y$32="Muy Alta",'Mapa final'!$AA$32="Mayor"),CONCATENATE("R6C",'Mapa final'!$O$32),"")</f>
        <v/>
      </c>
      <c r="AG11" s="45" t="str">
        <f>IF(AND('Mapa final'!$Y$33="Muy Alta",'Mapa final'!$AA$33="Mayor"),CONCATENATE("R6C",'Mapa final'!$O$33),"")</f>
        <v/>
      </c>
      <c r="AH11" s="46" t="str">
        <f ca="1">IF(AND('Mapa final'!$Y$28="Muy Alta",'Mapa final'!$AA$28="Catastrófico"),CONCATENATE("R6C",'Mapa final'!$O$28),"")</f>
        <v/>
      </c>
      <c r="AI11" s="47" t="str">
        <f ca="1">IF(AND('Mapa final'!$Y$29="Muy Alta",'Mapa final'!$AA$29="Catastrófico"),CONCATENATE("R6C",'Mapa final'!$O$29),"")</f>
        <v/>
      </c>
      <c r="AJ11" s="47" t="str">
        <f>IF(AND('Mapa final'!$Y$30="Muy Alta",'Mapa final'!$AA$30="Catastrófico"),CONCATENATE("R6C",'Mapa final'!$O$30),"")</f>
        <v/>
      </c>
      <c r="AK11" s="47" t="str">
        <f>IF(AND('Mapa final'!$Y$31="Muy Alta",'Mapa final'!$AA$31="Catastrófico"),CONCATENATE("R6C",'Mapa final'!$O$31),"")</f>
        <v/>
      </c>
      <c r="AL11" s="47" t="str">
        <f>IF(AND('Mapa final'!$Y$32="Muy Alta",'Mapa final'!$AA$32="Catastrófico"),CONCATENATE("R6C",'Mapa final'!$O$32),"")</f>
        <v/>
      </c>
      <c r="AM11" s="48" t="str">
        <f>IF(AND('Mapa final'!$Y$33="Muy Alta",'Mapa final'!$AA$33="Catastrófico"),CONCATENATE("R6C",'Mapa final'!$O$33),"")</f>
        <v/>
      </c>
      <c r="AN11" s="74"/>
      <c r="AO11" s="342"/>
      <c r="AP11" s="343"/>
      <c r="AQ11" s="343"/>
      <c r="AR11" s="343"/>
      <c r="AS11" s="343"/>
      <c r="AT11" s="34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row>
    <row r="12" spans="1:91" ht="15" customHeight="1" x14ac:dyDescent="0.25">
      <c r="A12" s="74"/>
      <c r="B12" s="237"/>
      <c r="C12" s="237"/>
      <c r="D12" s="238"/>
      <c r="E12" s="336"/>
      <c r="F12" s="335"/>
      <c r="G12" s="335"/>
      <c r="H12" s="335"/>
      <c r="I12" s="351"/>
      <c r="J12" s="43" t="str">
        <f ca="1">IF(AND('Mapa final'!$Y$34="Muy Alta",'Mapa final'!$AA$34="Leve"),CONCATENATE("R7C",'Mapa final'!$O$34),"")</f>
        <v/>
      </c>
      <c r="K12" s="44" t="str">
        <f ca="1">IF(AND('Mapa final'!$Y$35="Muy Alta",'Mapa final'!$AA$35="Leve"),CONCATENATE("R7C",'Mapa final'!$O$35),"")</f>
        <v/>
      </c>
      <c r="L12" s="44" t="str">
        <f>IF(AND('Mapa final'!$Y$36="Muy Alta",'Mapa final'!$AA$36="Leve"),CONCATENATE("R7C",'Mapa final'!$O$36),"")</f>
        <v/>
      </c>
      <c r="M12" s="44" t="str">
        <f>IF(AND('Mapa final'!$Y$37="Muy Alta",'Mapa final'!$AA$37="Leve"),CONCATENATE("R7C",'Mapa final'!$O$37),"")</f>
        <v/>
      </c>
      <c r="N12" s="44" t="str">
        <f>IF(AND('Mapa final'!$Y$38="Muy Alta",'Mapa final'!$AA$38="Leve"),CONCATENATE("R7C",'Mapa final'!$O$38),"")</f>
        <v/>
      </c>
      <c r="O12" s="45" t="str">
        <f>IF(AND('Mapa final'!$Y$39="Muy Alta",'Mapa final'!$AA$39="Leve"),CONCATENATE("R7C",'Mapa final'!$O$39),"")</f>
        <v/>
      </c>
      <c r="P12" s="43" t="str">
        <f ca="1">IF(AND('Mapa final'!$Y$34="Muy Alta",'Mapa final'!$AA$34="Menor"),CONCATENATE("R7C",'Mapa final'!$O$34),"")</f>
        <v/>
      </c>
      <c r="Q12" s="44" t="str">
        <f ca="1">IF(AND('Mapa final'!$Y$35="Muy Alta",'Mapa final'!$AA$35="Menor"),CONCATENATE("R7C",'Mapa final'!$O$35),"")</f>
        <v/>
      </c>
      <c r="R12" s="44" t="str">
        <f>IF(AND('Mapa final'!$Y$36="Muy Alta",'Mapa final'!$AA$36="Menor"),CONCATENATE("R7C",'Mapa final'!$O$36),"")</f>
        <v/>
      </c>
      <c r="S12" s="44" t="str">
        <f>IF(AND('Mapa final'!$Y$37="Muy Alta",'Mapa final'!$AA$37="Menor"),CONCATENATE("R7C",'Mapa final'!$O$37),"")</f>
        <v/>
      </c>
      <c r="T12" s="44" t="str">
        <f>IF(AND('Mapa final'!$Y$38="Muy Alta",'Mapa final'!$AA$38="Menor"),CONCATENATE("R7C",'Mapa final'!$O$38),"")</f>
        <v/>
      </c>
      <c r="U12" s="45" t="str">
        <f>IF(AND('Mapa final'!$Y$39="Muy Alta",'Mapa final'!$AA$39="Menor"),CONCATENATE("R7C",'Mapa final'!$O$39),"")</f>
        <v/>
      </c>
      <c r="V12" s="43" t="str">
        <f ca="1">IF(AND('Mapa final'!$Y$34="Muy Alta",'Mapa final'!$AA$34="Moderado"),CONCATENATE("R7C",'Mapa final'!$O$34),"")</f>
        <v/>
      </c>
      <c r="W12" s="44" t="str">
        <f ca="1">IF(AND('Mapa final'!$Y$35="Muy Alta",'Mapa final'!$AA$35="Moderado"),CONCATENATE("R7C",'Mapa final'!$O$35),"")</f>
        <v/>
      </c>
      <c r="X12" s="44" t="str">
        <f>IF(AND('Mapa final'!$Y$36="Muy Alta",'Mapa final'!$AA$36="Moderado"),CONCATENATE("R7C",'Mapa final'!$O$36),"")</f>
        <v/>
      </c>
      <c r="Y12" s="44" t="str">
        <f>IF(AND('Mapa final'!$Y$37="Muy Alta",'Mapa final'!$AA$37="Moderado"),CONCATENATE("R7C",'Mapa final'!$O$37),"")</f>
        <v/>
      </c>
      <c r="Z12" s="44" t="str">
        <f>IF(AND('Mapa final'!$Y$38="Muy Alta",'Mapa final'!$AA$38="Moderado"),CONCATENATE("R7C",'Mapa final'!$O$38),"")</f>
        <v/>
      </c>
      <c r="AA12" s="45" t="str">
        <f>IF(AND('Mapa final'!$Y$39="Muy Alta",'Mapa final'!$AA$39="Moderado"),CONCATENATE("R7C",'Mapa final'!$O$39),"")</f>
        <v/>
      </c>
      <c r="AB12" s="43" t="str">
        <f ca="1">IF(AND('Mapa final'!$Y$34="Muy Alta",'Mapa final'!$AA$34="Mayor"),CONCATENATE("R7C",'Mapa final'!$O$34),"")</f>
        <v/>
      </c>
      <c r="AC12" s="44" t="str">
        <f ca="1">IF(AND('Mapa final'!$Y$35="Muy Alta",'Mapa final'!$AA$35="Mayor"),CONCATENATE("R7C",'Mapa final'!$O$35),"")</f>
        <v/>
      </c>
      <c r="AD12" s="44" t="str">
        <f>IF(AND('Mapa final'!$Y$36="Muy Alta",'Mapa final'!$AA$36="Mayor"),CONCATENATE("R7C",'Mapa final'!$O$36),"")</f>
        <v/>
      </c>
      <c r="AE12" s="44" t="str">
        <f>IF(AND('Mapa final'!$Y$37="Muy Alta",'Mapa final'!$AA$37="Mayor"),CONCATENATE("R7C",'Mapa final'!$O$37),"")</f>
        <v/>
      </c>
      <c r="AF12" s="44" t="str">
        <f>IF(AND('Mapa final'!$Y$38="Muy Alta",'Mapa final'!$AA$38="Mayor"),CONCATENATE("R7C",'Mapa final'!$O$38),"")</f>
        <v/>
      </c>
      <c r="AG12" s="45" t="str">
        <f>IF(AND('Mapa final'!$Y$39="Muy Alta",'Mapa final'!$AA$39="Mayor"),CONCATENATE("R7C",'Mapa final'!$O$39),"")</f>
        <v/>
      </c>
      <c r="AH12" s="46" t="str">
        <f ca="1">IF(AND('Mapa final'!$Y$34="Muy Alta",'Mapa final'!$AA$34="Catastrófico"),CONCATENATE("R7C",'Mapa final'!$O$34),"")</f>
        <v/>
      </c>
      <c r="AI12" s="47" t="str">
        <f ca="1">IF(AND('Mapa final'!$Y$35="Muy Alta",'Mapa final'!$AA$35="Catastrófico"),CONCATENATE("R7C",'Mapa final'!$O$35),"")</f>
        <v/>
      </c>
      <c r="AJ12" s="47" t="str">
        <f>IF(AND('Mapa final'!$Y$36="Muy Alta",'Mapa final'!$AA$36="Catastrófico"),CONCATENATE("R7C",'Mapa final'!$O$36),"")</f>
        <v/>
      </c>
      <c r="AK12" s="47" t="str">
        <f>IF(AND('Mapa final'!$Y$37="Muy Alta",'Mapa final'!$AA$37="Catastrófico"),CONCATENATE("R7C",'Mapa final'!$O$37),"")</f>
        <v/>
      </c>
      <c r="AL12" s="47" t="str">
        <f>IF(AND('Mapa final'!$Y$38="Muy Alta",'Mapa final'!$AA$38="Catastrófico"),CONCATENATE("R7C",'Mapa final'!$O$38),"")</f>
        <v/>
      </c>
      <c r="AM12" s="48" t="str">
        <f>IF(AND('Mapa final'!$Y$39="Muy Alta",'Mapa final'!$AA$39="Catastrófico"),CONCATENATE("R7C",'Mapa final'!$O$39),"")</f>
        <v/>
      </c>
      <c r="AN12" s="74"/>
      <c r="AO12" s="342"/>
      <c r="AP12" s="343"/>
      <c r="AQ12" s="343"/>
      <c r="AR12" s="343"/>
      <c r="AS12" s="343"/>
      <c r="AT12" s="34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row>
    <row r="13" spans="1:91" ht="15" customHeight="1" x14ac:dyDescent="0.25">
      <c r="A13" s="74"/>
      <c r="B13" s="237"/>
      <c r="C13" s="237"/>
      <c r="D13" s="238"/>
      <c r="E13" s="336"/>
      <c r="F13" s="335"/>
      <c r="G13" s="335"/>
      <c r="H13" s="335"/>
      <c r="I13" s="351"/>
      <c r="J13" s="43" t="str">
        <f ca="1">IF(AND('Mapa final'!$Y$40="Muy Alta",'Mapa final'!$AA$40="Leve"),CONCATENATE("R8C",'Mapa final'!$O$40),"")</f>
        <v/>
      </c>
      <c r="K13" s="44" t="str">
        <f>IF(AND('Mapa final'!$Y$41="Muy Alta",'Mapa final'!$AA$41="Leve"),CONCATENATE("R8C",'Mapa final'!$O$41),"")</f>
        <v/>
      </c>
      <c r="L13" s="44" t="str">
        <f>IF(AND('Mapa final'!$Y$42="Muy Alta",'Mapa final'!$AA$42="Leve"),CONCATENATE("R8C",'Mapa final'!$O$42),"")</f>
        <v/>
      </c>
      <c r="M13" s="44" t="str">
        <f>IF(AND('Mapa final'!$Y$43="Muy Alta",'Mapa final'!$AA$43="Leve"),CONCATENATE("R8C",'Mapa final'!$O$43),"")</f>
        <v/>
      </c>
      <c r="N13" s="44" t="str">
        <f>IF(AND('Mapa final'!$Y$44="Muy Alta",'Mapa final'!$AA$44="Leve"),CONCATENATE("R8C",'Mapa final'!$O$44),"")</f>
        <v/>
      </c>
      <c r="O13" s="45" t="str">
        <f>IF(AND('Mapa final'!$Y$45="Muy Alta",'Mapa final'!$AA$45="Leve"),CONCATENATE("R8C",'Mapa final'!$O$45),"")</f>
        <v/>
      </c>
      <c r="P13" s="43" t="str">
        <f ca="1">IF(AND('Mapa final'!$Y$40="Muy Alta",'Mapa final'!$AA$40="Menor"),CONCATENATE("R8C",'Mapa final'!$O$40),"")</f>
        <v/>
      </c>
      <c r="Q13" s="44" t="str">
        <f>IF(AND('Mapa final'!$Y$41="Muy Alta",'Mapa final'!$AA$41="Menor"),CONCATENATE("R8C",'Mapa final'!$O$41),"")</f>
        <v/>
      </c>
      <c r="R13" s="44" t="str">
        <f>IF(AND('Mapa final'!$Y$42="Muy Alta",'Mapa final'!$AA$42="Menor"),CONCATENATE("R8C",'Mapa final'!$O$42),"")</f>
        <v/>
      </c>
      <c r="S13" s="44" t="str">
        <f>IF(AND('Mapa final'!$Y$43="Muy Alta",'Mapa final'!$AA$43="Menor"),CONCATENATE("R8C",'Mapa final'!$O$43),"")</f>
        <v/>
      </c>
      <c r="T13" s="44" t="str">
        <f>IF(AND('Mapa final'!$Y$44="Muy Alta",'Mapa final'!$AA$44="Menor"),CONCATENATE("R8C",'Mapa final'!$O$44),"")</f>
        <v/>
      </c>
      <c r="U13" s="45" t="str">
        <f>IF(AND('Mapa final'!$Y$45="Muy Alta",'Mapa final'!$AA$45="Menor"),CONCATENATE("R8C",'Mapa final'!$O$45),"")</f>
        <v/>
      </c>
      <c r="V13" s="43" t="str">
        <f ca="1">IF(AND('Mapa final'!$Y$40="Muy Alta",'Mapa final'!$AA$40="Moderado"),CONCATENATE("R8C",'Mapa final'!$O$40),"")</f>
        <v/>
      </c>
      <c r="W13" s="44" t="str">
        <f>IF(AND('Mapa final'!$Y$41="Muy Alta",'Mapa final'!$AA$41="Moderado"),CONCATENATE("R8C",'Mapa final'!$O$41),"")</f>
        <v/>
      </c>
      <c r="X13" s="44" t="str">
        <f>IF(AND('Mapa final'!$Y$42="Muy Alta",'Mapa final'!$AA$42="Moderado"),CONCATENATE("R8C",'Mapa final'!$O$42),"")</f>
        <v/>
      </c>
      <c r="Y13" s="44" t="str">
        <f>IF(AND('Mapa final'!$Y$43="Muy Alta",'Mapa final'!$AA$43="Moderado"),CONCATENATE("R8C",'Mapa final'!$O$43),"")</f>
        <v/>
      </c>
      <c r="Z13" s="44" t="str">
        <f>IF(AND('Mapa final'!$Y$44="Muy Alta",'Mapa final'!$AA$44="Moderado"),CONCATENATE("R8C",'Mapa final'!$O$44),"")</f>
        <v/>
      </c>
      <c r="AA13" s="45" t="str">
        <f>IF(AND('Mapa final'!$Y$45="Muy Alta",'Mapa final'!$AA$45="Moderado"),CONCATENATE("R8C",'Mapa final'!$O$45),"")</f>
        <v/>
      </c>
      <c r="AB13" s="43" t="str">
        <f ca="1">IF(AND('Mapa final'!$Y$40="Muy Alta",'Mapa final'!$AA$40="Mayor"),CONCATENATE("R8C",'Mapa final'!$O$40),"")</f>
        <v/>
      </c>
      <c r="AC13" s="44" t="str">
        <f>IF(AND('Mapa final'!$Y$41="Muy Alta",'Mapa final'!$AA$41="Mayor"),CONCATENATE("R8C",'Mapa final'!$O$41),"")</f>
        <v/>
      </c>
      <c r="AD13" s="44" t="str">
        <f>IF(AND('Mapa final'!$Y$42="Muy Alta",'Mapa final'!$AA$42="Mayor"),CONCATENATE("R8C",'Mapa final'!$O$42),"")</f>
        <v/>
      </c>
      <c r="AE13" s="44" t="str">
        <f>IF(AND('Mapa final'!$Y$43="Muy Alta",'Mapa final'!$AA$43="Mayor"),CONCATENATE("R8C",'Mapa final'!$O$43),"")</f>
        <v/>
      </c>
      <c r="AF13" s="44" t="str">
        <f>IF(AND('Mapa final'!$Y$44="Muy Alta",'Mapa final'!$AA$44="Mayor"),CONCATENATE("R8C",'Mapa final'!$O$44),"")</f>
        <v/>
      </c>
      <c r="AG13" s="45" t="str">
        <f>IF(AND('Mapa final'!$Y$45="Muy Alta",'Mapa final'!$AA$45="Mayor"),CONCATENATE("R8C",'Mapa final'!$O$45),"")</f>
        <v/>
      </c>
      <c r="AH13" s="46" t="str">
        <f ca="1">IF(AND('Mapa final'!$Y$40="Muy Alta",'Mapa final'!$AA$40="Catastrófico"),CONCATENATE("R8C",'Mapa final'!$O$40),"")</f>
        <v/>
      </c>
      <c r="AI13" s="47" t="str">
        <f>IF(AND('Mapa final'!$Y$41="Muy Alta",'Mapa final'!$AA$41="Catastrófico"),CONCATENATE("R8C",'Mapa final'!$O$41),"")</f>
        <v/>
      </c>
      <c r="AJ13" s="47" t="str">
        <f>IF(AND('Mapa final'!$Y$42="Muy Alta",'Mapa final'!$AA$42="Catastrófico"),CONCATENATE("R8C",'Mapa final'!$O$42),"")</f>
        <v/>
      </c>
      <c r="AK13" s="47" t="str">
        <f>IF(AND('Mapa final'!$Y$43="Muy Alta",'Mapa final'!$AA$43="Catastrófico"),CONCATENATE("R8C",'Mapa final'!$O$43),"")</f>
        <v/>
      </c>
      <c r="AL13" s="47" t="str">
        <f>IF(AND('Mapa final'!$Y$44="Muy Alta",'Mapa final'!$AA$44="Catastrófico"),CONCATENATE("R8C",'Mapa final'!$O$44),"")</f>
        <v/>
      </c>
      <c r="AM13" s="48" t="str">
        <f>IF(AND('Mapa final'!$Y$45="Muy Alta",'Mapa final'!$AA$45="Catastrófico"),CONCATENATE("R8C",'Mapa final'!$O$45),"")</f>
        <v/>
      </c>
      <c r="AN13" s="74"/>
      <c r="AO13" s="342"/>
      <c r="AP13" s="343"/>
      <c r="AQ13" s="343"/>
      <c r="AR13" s="343"/>
      <c r="AS13" s="343"/>
      <c r="AT13" s="34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row>
    <row r="14" spans="1:91" ht="15" customHeight="1" x14ac:dyDescent="0.25">
      <c r="A14" s="74"/>
      <c r="B14" s="237"/>
      <c r="C14" s="237"/>
      <c r="D14" s="238"/>
      <c r="E14" s="336"/>
      <c r="F14" s="335"/>
      <c r="G14" s="335"/>
      <c r="H14" s="335"/>
      <c r="I14" s="351"/>
      <c r="J14" s="43" t="str">
        <f ca="1">IF(AND('Mapa final'!$Y$46="Muy Alta",'Mapa final'!$AA$46="Leve"),CONCATENATE("R9C",'Mapa final'!$O$46),"")</f>
        <v/>
      </c>
      <c r="K14" s="44" t="str">
        <f ca="1">IF(AND('Mapa final'!$Y$47="Muy Alta",'Mapa final'!$AA$47="Leve"),CONCATENATE("R9C",'Mapa final'!$O$47),"")</f>
        <v/>
      </c>
      <c r="L14" s="44" t="str">
        <f>IF(AND('Mapa final'!$Y$48="Muy Alta",'Mapa final'!$AA$48="Leve"),CONCATENATE("R9C",'Mapa final'!$O$48),"")</f>
        <v/>
      </c>
      <c r="M14" s="44" t="str">
        <f>IF(AND('Mapa final'!$Y$49="Muy Alta",'Mapa final'!$AA$49="Leve"),CONCATENATE("R9C",'Mapa final'!$O$49),"")</f>
        <v/>
      </c>
      <c r="N14" s="44" t="str">
        <f>IF(AND('Mapa final'!$Y$50="Muy Alta",'Mapa final'!$AA$50="Leve"),CONCATENATE("R9C",'Mapa final'!$O$50),"")</f>
        <v/>
      </c>
      <c r="O14" s="45" t="str">
        <f>IF(AND('Mapa final'!$Y$51="Muy Alta",'Mapa final'!$AA$51="Leve"),CONCATENATE("R9C",'Mapa final'!$O$51),"")</f>
        <v/>
      </c>
      <c r="P14" s="43" t="str">
        <f ca="1">IF(AND('Mapa final'!$Y$46="Muy Alta",'Mapa final'!$AA$46="Menor"),CONCATENATE("R9C",'Mapa final'!$O$46),"")</f>
        <v/>
      </c>
      <c r="Q14" s="44" t="str">
        <f ca="1">IF(AND('Mapa final'!$Y$47="Muy Alta",'Mapa final'!$AA$47="Menor"),CONCATENATE("R9C",'Mapa final'!$O$47),"")</f>
        <v/>
      </c>
      <c r="R14" s="44" t="str">
        <f>IF(AND('Mapa final'!$Y$48="Muy Alta",'Mapa final'!$AA$48="Menor"),CONCATENATE("R9C",'Mapa final'!$O$48),"")</f>
        <v/>
      </c>
      <c r="S14" s="44" t="str">
        <f>IF(AND('Mapa final'!$Y$49="Muy Alta",'Mapa final'!$AA$49="Menor"),CONCATENATE("R9C",'Mapa final'!$O$49),"")</f>
        <v/>
      </c>
      <c r="T14" s="44" t="str">
        <f>IF(AND('Mapa final'!$Y$50="Muy Alta",'Mapa final'!$AA$50="Menor"),CONCATENATE("R9C",'Mapa final'!$O$50),"")</f>
        <v/>
      </c>
      <c r="U14" s="45" t="str">
        <f>IF(AND('Mapa final'!$Y$51="Muy Alta",'Mapa final'!$AA$51="Menor"),CONCATENATE("R9C",'Mapa final'!$O$51),"")</f>
        <v/>
      </c>
      <c r="V14" s="43" t="str">
        <f ca="1">IF(AND('Mapa final'!$Y$46="Muy Alta",'Mapa final'!$AA$46="Moderado"),CONCATENATE("R9C",'Mapa final'!$O$46),"")</f>
        <v/>
      </c>
      <c r="W14" s="44" t="str">
        <f ca="1">IF(AND('Mapa final'!$Y$47="Muy Alta",'Mapa final'!$AA$47="Moderado"),CONCATENATE("R9C",'Mapa final'!$O$47),"")</f>
        <v/>
      </c>
      <c r="X14" s="44" t="str">
        <f>IF(AND('Mapa final'!$Y$48="Muy Alta",'Mapa final'!$AA$48="Moderado"),CONCATENATE("R9C",'Mapa final'!$O$48),"")</f>
        <v/>
      </c>
      <c r="Y14" s="44" t="str">
        <f>IF(AND('Mapa final'!$Y$49="Muy Alta",'Mapa final'!$AA$49="Moderado"),CONCATENATE("R9C",'Mapa final'!$O$49),"")</f>
        <v/>
      </c>
      <c r="Z14" s="44" t="str">
        <f>IF(AND('Mapa final'!$Y$50="Muy Alta",'Mapa final'!$AA$50="Moderado"),CONCATENATE("R9C",'Mapa final'!$O$50),"")</f>
        <v/>
      </c>
      <c r="AA14" s="45" t="str">
        <f>IF(AND('Mapa final'!$Y$51="Muy Alta",'Mapa final'!$AA$51="Moderado"),CONCATENATE("R9C",'Mapa final'!$O$51),"")</f>
        <v/>
      </c>
      <c r="AB14" s="43" t="str">
        <f ca="1">IF(AND('Mapa final'!$Y$46="Muy Alta",'Mapa final'!$AA$46="Mayor"),CONCATENATE("R9C",'Mapa final'!$O$46),"")</f>
        <v/>
      </c>
      <c r="AC14" s="44" t="str">
        <f ca="1">IF(AND('Mapa final'!$Y$47="Muy Alta",'Mapa final'!$AA$47="Mayor"),CONCATENATE("R9C",'Mapa final'!$O$47),"")</f>
        <v/>
      </c>
      <c r="AD14" s="44" t="str">
        <f>IF(AND('Mapa final'!$Y$48="Muy Alta",'Mapa final'!$AA$48="Mayor"),CONCATENATE("R9C",'Mapa final'!$O$48),"")</f>
        <v/>
      </c>
      <c r="AE14" s="44" t="str">
        <f>IF(AND('Mapa final'!$Y$49="Muy Alta",'Mapa final'!$AA$49="Mayor"),CONCATENATE("R9C",'Mapa final'!$O$49),"")</f>
        <v/>
      </c>
      <c r="AF14" s="44" t="str">
        <f>IF(AND('Mapa final'!$Y$50="Muy Alta",'Mapa final'!$AA$50="Mayor"),CONCATENATE("R9C",'Mapa final'!$O$50),"")</f>
        <v/>
      </c>
      <c r="AG14" s="45" t="str">
        <f>IF(AND('Mapa final'!$Y$51="Muy Alta",'Mapa final'!$AA$51="Mayor"),CONCATENATE("R9C",'Mapa final'!$O$51),"")</f>
        <v/>
      </c>
      <c r="AH14" s="46" t="str">
        <f ca="1">IF(AND('Mapa final'!$Y$46="Muy Alta",'Mapa final'!$AA$46="Catastrófico"),CONCATENATE("R9C",'Mapa final'!$O$46),"")</f>
        <v/>
      </c>
      <c r="AI14" s="47" t="str">
        <f ca="1">IF(AND('Mapa final'!$Y$47="Muy Alta",'Mapa final'!$AA$47="Catastrófico"),CONCATENATE("R9C",'Mapa final'!$O$47),"")</f>
        <v/>
      </c>
      <c r="AJ14" s="47" t="str">
        <f>IF(AND('Mapa final'!$Y$48="Muy Alta",'Mapa final'!$AA$48="Catastrófico"),CONCATENATE("R9C",'Mapa final'!$O$48),"")</f>
        <v/>
      </c>
      <c r="AK14" s="47" t="str">
        <f>IF(AND('Mapa final'!$Y$49="Muy Alta",'Mapa final'!$AA$49="Catastrófico"),CONCATENATE("R9C",'Mapa final'!$O$49),"")</f>
        <v/>
      </c>
      <c r="AL14" s="47" t="str">
        <f>IF(AND('Mapa final'!$Y$50="Muy Alta",'Mapa final'!$AA$50="Catastrófico"),CONCATENATE("R9C",'Mapa final'!$O$50),"")</f>
        <v/>
      </c>
      <c r="AM14" s="48" t="str">
        <f>IF(AND('Mapa final'!$Y$51="Muy Alta",'Mapa final'!$AA$51="Catastrófico"),CONCATENATE("R9C",'Mapa final'!$O$51),"")</f>
        <v/>
      </c>
      <c r="AN14" s="74"/>
      <c r="AO14" s="342"/>
      <c r="AP14" s="343"/>
      <c r="AQ14" s="343"/>
      <c r="AR14" s="343"/>
      <c r="AS14" s="343"/>
      <c r="AT14" s="34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row>
    <row r="15" spans="1:91" ht="15.75" customHeight="1" thickBot="1" x14ac:dyDescent="0.3">
      <c r="A15" s="74"/>
      <c r="B15" s="237"/>
      <c r="C15" s="237"/>
      <c r="D15" s="238"/>
      <c r="E15" s="337"/>
      <c r="F15" s="338"/>
      <c r="G15" s="338"/>
      <c r="H15" s="338"/>
      <c r="I15" s="352"/>
      <c r="J15" s="49" t="str">
        <f>IF(AND('Mapa final'!$Y$52="Muy Alta",'Mapa final'!$AA$52="Leve"),CONCATENATE("R10C",'Mapa final'!$O$52),"")</f>
        <v/>
      </c>
      <c r="K15" s="50" t="str">
        <f>IF(AND('Mapa final'!$Y$53="Muy Alta",'Mapa final'!$AA$53="Leve"),CONCATENATE("R10C",'Mapa final'!$O$53),"")</f>
        <v/>
      </c>
      <c r="L15" s="50" t="str">
        <f>IF(AND('Mapa final'!$Y$54="Muy Alta",'Mapa final'!$AA$54="Leve"),CONCATENATE("R10C",'Mapa final'!$O$54),"")</f>
        <v/>
      </c>
      <c r="M15" s="50" t="str">
        <f>IF(AND('Mapa final'!$Y$55="Muy Alta",'Mapa final'!$AA$55="Leve"),CONCATENATE("R10C",'Mapa final'!$O$55),"")</f>
        <v/>
      </c>
      <c r="N15" s="50" t="str">
        <f>IF(AND('Mapa final'!$Y$56="Muy Alta",'Mapa final'!$AA$56="Leve"),CONCATENATE("R10C",'Mapa final'!$O$56),"")</f>
        <v/>
      </c>
      <c r="O15" s="51" t="str">
        <f>IF(AND('Mapa final'!$Y$57="Muy Alta",'Mapa final'!$AA$57="Leve"),CONCATENATE("R10C",'Mapa final'!$O$57),"")</f>
        <v/>
      </c>
      <c r="P15" s="43" t="str">
        <f>IF(AND('Mapa final'!$Y$52="Muy Alta",'Mapa final'!$AA$52="Menor"),CONCATENATE("R10C",'Mapa final'!$O$52),"")</f>
        <v/>
      </c>
      <c r="Q15" s="44" t="str">
        <f>IF(AND('Mapa final'!$Y$53="Muy Alta",'Mapa final'!$AA$53="Menor"),CONCATENATE("R10C",'Mapa final'!$O$53),"")</f>
        <v/>
      </c>
      <c r="R15" s="44" t="str">
        <f>IF(AND('Mapa final'!$Y$54="Muy Alta",'Mapa final'!$AA$54="Menor"),CONCATENATE("R10C",'Mapa final'!$O$54),"")</f>
        <v/>
      </c>
      <c r="S15" s="44" t="str">
        <f>IF(AND('Mapa final'!$Y$55="Muy Alta",'Mapa final'!$AA$55="Menor"),CONCATENATE("R10C",'Mapa final'!$O$55),"")</f>
        <v/>
      </c>
      <c r="T15" s="44" t="str">
        <f>IF(AND('Mapa final'!$Y$56="Muy Alta",'Mapa final'!$AA$56="Menor"),CONCATENATE("R10C",'Mapa final'!$O$56),"")</f>
        <v/>
      </c>
      <c r="U15" s="45" t="str">
        <f>IF(AND('Mapa final'!$Y$57="Muy Alta",'Mapa final'!$AA$57="Menor"),CONCATENATE("R10C",'Mapa final'!$O$57),"")</f>
        <v/>
      </c>
      <c r="V15" s="49" t="str">
        <f>IF(AND('Mapa final'!$Y$52="Muy Alta",'Mapa final'!$AA$52="Moderado"),CONCATENATE("R10C",'Mapa final'!$O$52),"")</f>
        <v/>
      </c>
      <c r="W15" s="50" t="str">
        <f>IF(AND('Mapa final'!$Y$53="Muy Alta",'Mapa final'!$AA$53="Moderado"),CONCATENATE("R10C",'Mapa final'!$O$53),"")</f>
        <v/>
      </c>
      <c r="X15" s="50" t="str">
        <f>IF(AND('Mapa final'!$Y$54="Muy Alta",'Mapa final'!$AA$54="Moderado"),CONCATENATE("R10C",'Mapa final'!$O$54),"")</f>
        <v/>
      </c>
      <c r="Y15" s="50" t="str">
        <f>IF(AND('Mapa final'!$Y$55="Muy Alta",'Mapa final'!$AA$55="Moderado"),CONCATENATE("R10C",'Mapa final'!$O$55),"")</f>
        <v/>
      </c>
      <c r="Z15" s="50" t="str">
        <f>IF(AND('Mapa final'!$Y$56="Muy Alta",'Mapa final'!$AA$56="Moderado"),CONCATENATE("R10C",'Mapa final'!$O$56),"")</f>
        <v/>
      </c>
      <c r="AA15" s="51" t="str">
        <f>IF(AND('Mapa final'!$Y$57="Muy Alta",'Mapa final'!$AA$57="Moderado"),CONCATENATE("R10C",'Mapa final'!$O$57),"")</f>
        <v/>
      </c>
      <c r="AB15" s="43" t="str">
        <f>IF(AND('Mapa final'!$Y$52="Muy Alta",'Mapa final'!$AA$52="Mayor"),CONCATENATE("R10C",'Mapa final'!$O$52),"")</f>
        <v/>
      </c>
      <c r="AC15" s="44" t="str">
        <f>IF(AND('Mapa final'!$Y$53="Muy Alta",'Mapa final'!$AA$53="Mayor"),CONCATENATE("R10C",'Mapa final'!$O$53),"")</f>
        <v/>
      </c>
      <c r="AD15" s="44" t="str">
        <f>IF(AND('Mapa final'!$Y$54="Muy Alta",'Mapa final'!$AA$54="Mayor"),CONCATENATE("R10C",'Mapa final'!$O$54),"")</f>
        <v/>
      </c>
      <c r="AE15" s="44" t="str">
        <f>IF(AND('Mapa final'!$Y$55="Muy Alta",'Mapa final'!$AA$55="Mayor"),CONCATENATE("R10C",'Mapa final'!$O$55),"")</f>
        <v/>
      </c>
      <c r="AF15" s="44" t="str">
        <f>IF(AND('Mapa final'!$Y$56="Muy Alta",'Mapa final'!$AA$56="Mayor"),CONCATENATE("R10C",'Mapa final'!$O$56),"")</f>
        <v/>
      </c>
      <c r="AG15" s="45" t="str">
        <f>IF(AND('Mapa final'!$Y$57="Muy Alta",'Mapa final'!$AA$57="Mayor"),CONCATENATE("R10C",'Mapa final'!$O$57),"")</f>
        <v/>
      </c>
      <c r="AH15" s="52" t="str">
        <f>IF(AND('Mapa final'!$Y$52="Muy Alta",'Mapa final'!$AA$52="Catastrófico"),CONCATENATE("R10C",'Mapa final'!$O$52),"")</f>
        <v/>
      </c>
      <c r="AI15" s="53" t="str">
        <f>IF(AND('Mapa final'!$Y$53="Muy Alta",'Mapa final'!$AA$53="Catastrófico"),CONCATENATE("R10C",'Mapa final'!$O$53),"")</f>
        <v/>
      </c>
      <c r="AJ15" s="53" t="str">
        <f>IF(AND('Mapa final'!$Y$54="Muy Alta",'Mapa final'!$AA$54="Catastrófico"),CONCATENATE("R10C",'Mapa final'!$O$54),"")</f>
        <v/>
      </c>
      <c r="AK15" s="53" t="str">
        <f>IF(AND('Mapa final'!$Y$55="Muy Alta",'Mapa final'!$AA$55="Catastrófico"),CONCATENATE("R10C",'Mapa final'!$O$55),"")</f>
        <v/>
      </c>
      <c r="AL15" s="53" t="str">
        <f>IF(AND('Mapa final'!$Y$56="Muy Alta",'Mapa final'!$AA$56="Catastrófico"),CONCATENATE("R10C",'Mapa final'!$O$56),"")</f>
        <v/>
      </c>
      <c r="AM15" s="54" t="str">
        <f>IF(AND('Mapa final'!$Y$57="Muy Alta",'Mapa final'!$AA$57="Catastrófico"),CONCATENATE("R10C",'Mapa final'!$O$57),"")</f>
        <v/>
      </c>
      <c r="AN15" s="74"/>
      <c r="AO15" s="345"/>
      <c r="AP15" s="346"/>
      <c r="AQ15" s="346"/>
      <c r="AR15" s="346"/>
      <c r="AS15" s="346"/>
      <c r="AT15" s="347"/>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row>
    <row r="16" spans="1:91" ht="15" customHeight="1" x14ac:dyDescent="0.25">
      <c r="A16" s="74"/>
      <c r="B16" s="237"/>
      <c r="C16" s="237"/>
      <c r="D16" s="238"/>
      <c r="E16" s="332" t="s">
        <v>113</v>
      </c>
      <c r="F16" s="333"/>
      <c r="G16" s="333"/>
      <c r="H16" s="333"/>
      <c r="I16" s="333"/>
      <c r="J16" s="55" t="e">
        <f>IF(AND('Mapa final'!#REF!="Alta",'Mapa final'!#REF!="Leve"),CONCATENATE("R1C",'Mapa final'!#REF!),"")</f>
        <v>#REF!</v>
      </c>
      <c r="K16" s="56" t="e">
        <f>IF(AND('Mapa final'!#REF!="Alta",'Mapa final'!#REF!="Leve"),CONCATENATE("R1C",'Mapa final'!#REF!),"")</f>
        <v>#REF!</v>
      </c>
      <c r="L16" s="56" t="e">
        <f>IF(AND('Mapa final'!#REF!="Alta",'Mapa final'!#REF!="Leve"),CONCATENATE("R1C",'Mapa final'!#REF!),"")</f>
        <v>#REF!</v>
      </c>
      <c r="M16" s="56" t="e">
        <f>IF(AND('Mapa final'!#REF!="Alta",'Mapa final'!#REF!="Leve"),CONCATENATE("R1C",'Mapa final'!#REF!),"")</f>
        <v>#REF!</v>
      </c>
      <c r="N16" s="56" t="e">
        <f>IF(AND('Mapa final'!#REF!="Alta",'Mapa final'!#REF!="Leve"),CONCATENATE("R1C",'Mapa final'!#REF!),"")</f>
        <v>#REF!</v>
      </c>
      <c r="O16" s="57" t="e">
        <f>IF(AND('Mapa final'!#REF!="Alta",'Mapa final'!#REF!="Leve"),CONCATENATE("R1C",'Mapa final'!#REF!),"")</f>
        <v>#REF!</v>
      </c>
      <c r="P16" s="55" t="e">
        <f>IF(AND('Mapa final'!#REF!="Alta",'Mapa final'!#REF!="Menor"),CONCATENATE("R1C",'Mapa final'!#REF!),"")</f>
        <v>#REF!</v>
      </c>
      <c r="Q16" s="56" t="e">
        <f>IF(AND('Mapa final'!#REF!="Alta",'Mapa final'!#REF!="Menor"),CONCATENATE("R1C",'Mapa final'!#REF!),"")</f>
        <v>#REF!</v>
      </c>
      <c r="R16" s="56" t="e">
        <f>IF(AND('Mapa final'!#REF!="Alta",'Mapa final'!#REF!="Menor"),CONCATENATE("R1C",'Mapa final'!#REF!),"")</f>
        <v>#REF!</v>
      </c>
      <c r="S16" s="56" t="e">
        <f>IF(AND('Mapa final'!#REF!="Alta",'Mapa final'!#REF!="Menor"),CONCATENATE("R1C",'Mapa final'!#REF!),"")</f>
        <v>#REF!</v>
      </c>
      <c r="T16" s="56" t="e">
        <f>IF(AND('Mapa final'!#REF!="Alta",'Mapa final'!#REF!="Menor"),CONCATENATE("R1C",'Mapa final'!#REF!),"")</f>
        <v>#REF!</v>
      </c>
      <c r="U16" s="57" t="e">
        <f>IF(AND('Mapa final'!#REF!="Alta",'Mapa final'!#REF!="Menor"),CONCATENATE("R1C",'Mapa final'!#REF!),"")</f>
        <v>#REF!</v>
      </c>
      <c r="V16" s="37" t="e">
        <f>IF(AND('Mapa final'!#REF!="Alta",'Mapa final'!#REF!="Moderado"),CONCATENATE("R1C",'Mapa final'!#REF!),"")</f>
        <v>#REF!</v>
      </c>
      <c r="W16" s="38" t="e">
        <f>IF(AND('Mapa final'!#REF!="Alta",'Mapa final'!#REF!="Moderado"),CONCATENATE("R1C",'Mapa final'!#REF!),"")</f>
        <v>#REF!</v>
      </c>
      <c r="X16" s="38" t="e">
        <f>IF(AND('Mapa final'!#REF!="Alta",'Mapa final'!#REF!="Moderado"),CONCATENATE("R1C",'Mapa final'!#REF!),"")</f>
        <v>#REF!</v>
      </c>
      <c r="Y16" s="38" t="e">
        <f>IF(AND('Mapa final'!#REF!="Alta",'Mapa final'!#REF!="Moderado"),CONCATENATE("R1C",'Mapa final'!#REF!),"")</f>
        <v>#REF!</v>
      </c>
      <c r="Z16" s="38" t="e">
        <f>IF(AND('Mapa final'!#REF!="Alta",'Mapa final'!#REF!="Moderado"),CONCATENATE("R1C",'Mapa final'!#REF!),"")</f>
        <v>#REF!</v>
      </c>
      <c r="AA16" s="39" t="e">
        <f>IF(AND('Mapa final'!#REF!="Alta",'Mapa final'!#REF!="Moderado"),CONCATENATE("R1C",'Mapa final'!#REF!),"")</f>
        <v>#REF!</v>
      </c>
      <c r="AB16" s="37" t="e">
        <f>IF(AND('Mapa final'!#REF!="Alta",'Mapa final'!#REF!="Mayor"),CONCATENATE("R1C",'Mapa final'!#REF!),"")</f>
        <v>#REF!</v>
      </c>
      <c r="AC16" s="38" t="e">
        <f>IF(AND('Mapa final'!#REF!="Alta",'Mapa final'!#REF!="Mayor"),CONCATENATE("R1C",'Mapa final'!#REF!),"")</f>
        <v>#REF!</v>
      </c>
      <c r="AD16" s="38" t="e">
        <f>IF(AND('Mapa final'!#REF!="Alta",'Mapa final'!#REF!="Mayor"),CONCATENATE("R1C",'Mapa final'!#REF!),"")</f>
        <v>#REF!</v>
      </c>
      <c r="AE16" s="38" t="e">
        <f>IF(AND('Mapa final'!#REF!="Alta",'Mapa final'!#REF!="Mayor"),CONCATENATE("R1C",'Mapa final'!#REF!),"")</f>
        <v>#REF!</v>
      </c>
      <c r="AF16" s="38" t="e">
        <f>IF(AND('Mapa final'!#REF!="Alta",'Mapa final'!#REF!="Mayor"),CONCATENATE("R1C",'Mapa final'!#REF!),"")</f>
        <v>#REF!</v>
      </c>
      <c r="AG16" s="39" t="e">
        <f>IF(AND('Mapa final'!#REF!="Alta",'Mapa final'!#REF!="Mayor"),CONCATENATE("R1C",'Mapa final'!#REF!),"")</f>
        <v>#REF!</v>
      </c>
      <c r="AH16" s="40" t="e">
        <f>IF(AND('Mapa final'!#REF!="Alta",'Mapa final'!#REF!="Catastrófico"),CONCATENATE("R1C",'Mapa final'!#REF!),"")</f>
        <v>#REF!</v>
      </c>
      <c r="AI16" s="41" t="e">
        <f>IF(AND('Mapa final'!#REF!="Alta",'Mapa final'!#REF!="Catastrófico"),CONCATENATE("R1C",'Mapa final'!#REF!),"")</f>
        <v>#REF!</v>
      </c>
      <c r="AJ16" s="41" t="e">
        <f>IF(AND('Mapa final'!#REF!="Alta",'Mapa final'!#REF!="Catastrófico"),CONCATENATE("R1C",'Mapa final'!#REF!),"")</f>
        <v>#REF!</v>
      </c>
      <c r="AK16" s="41" t="e">
        <f>IF(AND('Mapa final'!#REF!="Alta",'Mapa final'!#REF!="Catastrófico"),CONCATENATE("R1C",'Mapa final'!#REF!),"")</f>
        <v>#REF!</v>
      </c>
      <c r="AL16" s="41" t="e">
        <f>IF(AND('Mapa final'!#REF!="Alta",'Mapa final'!#REF!="Catastrófico"),CONCATENATE("R1C",'Mapa final'!#REF!),"")</f>
        <v>#REF!</v>
      </c>
      <c r="AM16" s="42" t="e">
        <f>IF(AND('Mapa final'!#REF!="Alta",'Mapa final'!#REF!="Catastrófico"),CONCATENATE("R1C",'Mapa final'!#REF!),"")</f>
        <v>#REF!</v>
      </c>
      <c r="AN16" s="74"/>
      <c r="AO16" s="323" t="s">
        <v>80</v>
      </c>
      <c r="AP16" s="324"/>
      <c r="AQ16" s="324"/>
      <c r="AR16" s="324"/>
      <c r="AS16" s="324"/>
      <c r="AT16" s="325"/>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row>
    <row r="17" spans="1:76" ht="15" customHeight="1" x14ac:dyDescent="0.25">
      <c r="A17" s="74"/>
      <c r="B17" s="237"/>
      <c r="C17" s="237"/>
      <c r="D17" s="238"/>
      <c r="E17" s="334"/>
      <c r="F17" s="335"/>
      <c r="G17" s="335"/>
      <c r="H17" s="335"/>
      <c r="I17" s="335"/>
      <c r="J17" s="58" t="e">
        <f>IF(AND('Mapa final'!#REF!="Alta",'Mapa final'!#REF!="Leve"),CONCATENATE("R2C",'Mapa final'!#REF!),"")</f>
        <v>#REF!</v>
      </c>
      <c r="K17" s="59" t="e">
        <f>IF(AND('Mapa final'!#REF!="Alta",'Mapa final'!#REF!="Leve"),CONCATENATE("R2C",'Mapa final'!#REF!),"")</f>
        <v>#REF!</v>
      </c>
      <c r="L17" s="59" t="e">
        <f>IF(AND('Mapa final'!#REF!="Alta",'Mapa final'!#REF!="Leve"),CONCATENATE("R2C",'Mapa final'!#REF!),"")</f>
        <v>#REF!</v>
      </c>
      <c r="M17" s="59" t="e">
        <f>IF(AND('Mapa final'!#REF!="Alta",'Mapa final'!#REF!="Leve"),CONCATENATE("R2C",'Mapa final'!#REF!),"")</f>
        <v>#REF!</v>
      </c>
      <c r="N17" s="59" t="e">
        <f>IF(AND('Mapa final'!#REF!="Alta",'Mapa final'!#REF!="Leve"),CONCATENATE("R2C",'Mapa final'!#REF!),"")</f>
        <v>#REF!</v>
      </c>
      <c r="O17" s="60" t="e">
        <f>IF(AND('Mapa final'!#REF!="Alta",'Mapa final'!#REF!="Leve"),CONCATENATE("R2C",'Mapa final'!#REF!),"")</f>
        <v>#REF!</v>
      </c>
      <c r="P17" s="58" t="e">
        <f>IF(AND('Mapa final'!#REF!="Alta",'Mapa final'!#REF!="Menor"),CONCATENATE("R2C",'Mapa final'!#REF!),"")</f>
        <v>#REF!</v>
      </c>
      <c r="Q17" s="59" t="e">
        <f>IF(AND('Mapa final'!#REF!="Alta",'Mapa final'!#REF!="Menor"),CONCATENATE("R2C",'Mapa final'!#REF!),"")</f>
        <v>#REF!</v>
      </c>
      <c r="R17" s="59" t="e">
        <f>IF(AND('Mapa final'!#REF!="Alta",'Mapa final'!#REF!="Menor"),CONCATENATE("R2C",'Mapa final'!#REF!),"")</f>
        <v>#REF!</v>
      </c>
      <c r="S17" s="59" t="e">
        <f>IF(AND('Mapa final'!#REF!="Alta",'Mapa final'!#REF!="Menor"),CONCATENATE("R2C",'Mapa final'!#REF!),"")</f>
        <v>#REF!</v>
      </c>
      <c r="T17" s="59" t="e">
        <f>IF(AND('Mapa final'!#REF!="Alta",'Mapa final'!#REF!="Menor"),CONCATENATE("R2C",'Mapa final'!#REF!),"")</f>
        <v>#REF!</v>
      </c>
      <c r="U17" s="60" t="e">
        <f>IF(AND('Mapa final'!#REF!="Alta",'Mapa final'!#REF!="Menor"),CONCATENATE("R2C",'Mapa final'!#REF!),"")</f>
        <v>#REF!</v>
      </c>
      <c r="V17" s="43" t="e">
        <f>IF(AND('Mapa final'!#REF!="Alta",'Mapa final'!#REF!="Moderado"),CONCATENATE("R2C",'Mapa final'!#REF!),"")</f>
        <v>#REF!</v>
      </c>
      <c r="W17" s="44" t="e">
        <f>IF(AND('Mapa final'!#REF!="Alta",'Mapa final'!#REF!="Moderado"),CONCATENATE("R2C",'Mapa final'!#REF!),"")</f>
        <v>#REF!</v>
      </c>
      <c r="X17" s="44" t="e">
        <f>IF(AND('Mapa final'!#REF!="Alta",'Mapa final'!#REF!="Moderado"),CONCATENATE("R2C",'Mapa final'!#REF!),"")</f>
        <v>#REF!</v>
      </c>
      <c r="Y17" s="44" t="e">
        <f>IF(AND('Mapa final'!#REF!="Alta",'Mapa final'!#REF!="Moderado"),CONCATENATE("R2C",'Mapa final'!#REF!),"")</f>
        <v>#REF!</v>
      </c>
      <c r="Z17" s="44" t="e">
        <f>IF(AND('Mapa final'!#REF!="Alta",'Mapa final'!#REF!="Moderado"),CONCATENATE("R2C",'Mapa final'!#REF!),"")</f>
        <v>#REF!</v>
      </c>
      <c r="AA17" s="45" t="e">
        <f>IF(AND('Mapa final'!#REF!="Alta",'Mapa final'!#REF!="Moderado"),CONCATENATE("R2C",'Mapa final'!#REF!),"")</f>
        <v>#REF!</v>
      </c>
      <c r="AB17" s="43" t="e">
        <f>IF(AND('Mapa final'!#REF!="Alta",'Mapa final'!#REF!="Mayor"),CONCATENATE("R2C",'Mapa final'!#REF!),"")</f>
        <v>#REF!</v>
      </c>
      <c r="AC17" s="44" t="e">
        <f>IF(AND('Mapa final'!#REF!="Alta",'Mapa final'!#REF!="Mayor"),CONCATENATE("R2C",'Mapa final'!#REF!),"")</f>
        <v>#REF!</v>
      </c>
      <c r="AD17" s="44" t="e">
        <f>IF(AND('Mapa final'!#REF!="Alta",'Mapa final'!#REF!="Mayor"),CONCATENATE("R2C",'Mapa final'!#REF!),"")</f>
        <v>#REF!</v>
      </c>
      <c r="AE17" s="44" t="e">
        <f>IF(AND('Mapa final'!#REF!="Alta",'Mapa final'!#REF!="Mayor"),CONCATENATE("R2C",'Mapa final'!#REF!),"")</f>
        <v>#REF!</v>
      </c>
      <c r="AF17" s="44" t="e">
        <f>IF(AND('Mapa final'!#REF!="Alta",'Mapa final'!#REF!="Mayor"),CONCATENATE("R2C",'Mapa final'!#REF!),"")</f>
        <v>#REF!</v>
      </c>
      <c r="AG17" s="45" t="e">
        <f>IF(AND('Mapa final'!#REF!="Alta",'Mapa final'!#REF!="Mayor"),CONCATENATE("R2C",'Mapa final'!#REF!),"")</f>
        <v>#REF!</v>
      </c>
      <c r="AH17" s="46" t="e">
        <f>IF(AND('Mapa final'!#REF!="Alta",'Mapa final'!#REF!="Catastrófico"),CONCATENATE("R2C",'Mapa final'!#REF!),"")</f>
        <v>#REF!</v>
      </c>
      <c r="AI17" s="47" t="e">
        <f>IF(AND('Mapa final'!#REF!="Alta",'Mapa final'!#REF!="Catastrófico"),CONCATENATE("R2C",'Mapa final'!#REF!),"")</f>
        <v>#REF!</v>
      </c>
      <c r="AJ17" s="47" t="e">
        <f>IF(AND('Mapa final'!#REF!="Alta",'Mapa final'!#REF!="Catastrófico"),CONCATENATE("R2C",'Mapa final'!#REF!),"")</f>
        <v>#REF!</v>
      </c>
      <c r="AK17" s="47" t="e">
        <f>IF(AND('Mapa final'!#REF!="Alta",'Mapa final'!#REF!="Catastrófico"),CONCATENATE("R2C",'Mapa final'!#REF!),"")</f>
        <v>#REF!</v>
      </c>
      <c r="AL17" s="47" t="e">
        <f>IF(AND('Mapa final'!#REF!="Alta",'Mapa final'!#REF!="Catastrófico"),CONCATENATE("R2C",'Mapa final'!#REF!),"")</f>
        <v>#REF!</v>
      </c>
      <c r="AM17" s="48" t="e">
        <f>IF(AND('Mapa final'!#REF!="Alta",'Mapa final'!#REF!="Catastrófico"),CONCATENATE("R2C",'Mapa final'!#REF!),"")</f>
        <v>#REF!</v>
      </c>
      <c r="AN17" s="74"/>
      <c r="AO17" s="326"/>
      <c r="AP17" s="327"/>
      <c r="AQ17" s="327"/>
      <c r="AR17" s="327"/>
      <c r="AS17" s="327"/>
      <c r="AT17" s="328"/>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row>
    <row r="18" spans="1:76" ht="15" customHeight="1" x14ac:dyDescent="0.25">
      <c r="A18" s="74"/>
      <c r="B18" s="237"/>
      <c r="C18" s="237"/>
      <c r="D18" s="238"/>
      <c r="E18" s="336"/>
      <c r="F18" s="335"/>
      <c r="G18" s="335"/>
      <c r="H18" s="335"/>
      <c r="I18" s="335"/>
      <c r="J18" s="58" t="str">
        <f ca="1">IF(AND('Mapa final'!$Y$10="Alta",'Mapa final'!$AA$10="Leve"),CONCATENATE("R3C",'Mapa final'!$O$10),"")</f>
        <v/>
      </c>
      <c r="K18" s="59" t="str">
        <f>IF(AND('Mapa final'!$Y$11="Alta",'Mapa final'!$AA$11="Leve"),CONCATENATE("R3C",'Mapa final'!$O$11),"")</f>
        <v/>
      </c>
      <c r="L18" s="59" t="str">
        <f>IF(AND('Mapa final'!$Y$12="Alta",'Mapa final'!$AA$12="Leve"),CONCATENATE("R3C",'Mapa final'!$O$12),"")</f>
        <v/>
      </c>
      <c r="M18" s="59" t="str">
        <f>IF(AND('Mapa final'!$Y$13="Alta",'Mapa final'!$AA$13="Leve"),CONCATENATE("R3C",'Mapa final'!$O$13),"")</f>
        <v/>
      </c>
      <c r="N18" s="59" t="str">
        <f>IF(AND('Mapa final'!$Y$14="Alta",'Mapa final'!$AA$14="Leve"),CONCATENATE("R3C",'Mapa final'!$O$14),"")</f>
        <v/>
      </c>
      <c r="O18" s="60" t="str">
        <f>IF(AND('Mapa final'!$Y$15="Alta",'Mapa final'!$AA$15="Leve"),CONCATENATE("R3C",'Mapa final'!$O$15),"")</f>
        <v/>
      </c>
      <c r="P18" s="58" t="str">
        <f ca="1">IF(AND('Mapa final'!$Y$10="Alta",'Mapa final'!$AA$10="Menor"),CONCATENATE("R3C",'Mapa final'!$O$10),"")</f>
        <v/>
      </c>
      <c r="Q18" s="59" t="str">
        <f>IF(AND('Mapa final'!$Y$11="Alta",'Mapa final'!$AA$11="Menor"),CONCATENATE("R3C",'Mapa final'!$O$11),"")</f>
        <v/>
      </c>
      <c r="R18" s="59" t="str">
        <f>IF(AND('Mapa final'!$Y$12="Alta",'Mapa final'!$AA$12="Menor"),CONCATENATE("R3C",'Mapa final'!$O$12),"")</f>
        <v/>
      </c>
      <c r="S18" s="59" t="str">
        <f>IF(AND('Mapa final'!$Y$13="Alta",'Mapa final'!$AA$13="Menor"),CONCATENATE("R3C",'Mapa final'!$O$13),"")</f>
        <v/>
      </c>
      <c r="T18" s="59" t="str">
        <f>IF(AND('Mapa final'!$Y$14="Alta",'Mapa final'!$AA$14="Menor"),CONCATENATE("R3C",'Mapa final'!$O$14),"")</f>
        <v/>
      </c>
      <c r="U18" s="60" t="str">
        <f>IF(AND('Mapa final'!$Y$15="Alta",'Mapa final'!$AA$15="Menor"),CONCATENATE("R3C",'Mapa final'!$O$15),"")</f>
        <v/>
      </c>
      <c r="V18" s="43" t="str">
        <f ca="1">IF(AND('Mapa final'!$Y$10="Alta",'Mapa final'!$AA$10="Moderado"),CONCATENATE("R3C",'Mapa final'!$O$10),"")</f>
        <v/>
      </c>
      <c r="W18" s="44" t="str">
        <f>IF(AND('Mapa final'!$Y$11="Alta",'Mapa final'!$AA$11="Moderado"),CONCATENATE("R3C",'Mapa final'!$O$11),"")</f>
        <v/>
      </c>
      <c r="X18" s="44" t="str">
        <f>IF(AND('Mapa final'!$Y$12="Alta",'Mapa final'!$AA$12="Moderado"),CONCATENATE("R3C",'Mapa final'!$O$12),"")</f>
        <v/>
      </c>
      <c r="Y18" s="44" t="str">
        <f>IF(AND('Mapa final'!$Y$13="Alta",'Mapa final'!$AA$13="Moderado"),CONCATENATE("R3C",'Mapa final'!$O$13),"")</f>
        <v/>
      </c>
      <c r="Z18" s="44" t="str">
        <f>IF(AND('Mapa final'!$Y$14="Alta",'Mapa final'!$AA$14="Moderado"),CONCATENATE("R3C",'Mapa final'!$O$14),"")</f>
        <v/>
      </c>
      <c r="AA18" s="45" t="str">
        <f>IF(AND('Mapa final'!$Y$15="Alta",'Mapa final'!$AA$15="Moderado"),CONCATENATE("R3C",'Mapa final'!$O$15),"")</f>
        <v/>
      </c>
      <c r="AB18" s="43" t="str">
        <f ca="1">IF(AND('Mapa final'!$Y$10="Alta",'Mapa final'!$AA$10="Mayor"),CONCATENATE("R3C",'Mapa final'!$O$10),"")</f>
        <v/>
      </c>
      <c r="AC18" s="44" t="str">
        <f>IF(AND('Mapa final'!$Y$11="Alta",'Mapa final'!$AA$11="Mayor"),CONCATENATE("R3C",'Mapa final'!$O$11),"")</f>
        <v/>
      </c>
      <c r="AD18" s="44" t="str">
        <f>IF(AND('Mapa final'!$Y$12="Alta",'Mapa final'!$AA$12="Mayor"),CONCATENATE("R3C",'Mapa final'!$O$12),"")</f>
        <v/>
      </c>
      <c r="AE18" s="44" t="str">
        <f>IF(AND('Mapa final'!$Y$13="Alta",'Mapa final'!$AA$13="Mayor"),CONCATENATE("R3C",'Mapa final'!$O$13),"")</f>
        <v/>
      </c>
      <c r="AF18" s="44" t="str">
        <f>IF(AND('Mapa final'!$Y$14="Alta",'Mapa final'!$AA$14="Mayor"),CONCATENATE("R3C",'Mapa final'!$O$14),"")</f>
        <v/>
      </c>
      <c r="AG18" s="45" t="str">
        <f>IF(AND('Mapa final'!$Y$15="Alta",'Mapa final'!$AA$15="Mayor"),CONCATENATE("R3C",'Mapa final'!$O$15),"")</f>
        <v/>
      </c>
      <c r="AH18" s="46" t="str">
        <f ca="1">IF(AND('Mapa final'!$Y$10="Alta",'Mapa final'!$AA$10="Catastrófico"),CONCATENATE("R3C",'Mapa final'!$O$10),"")</f>
        <v/>
      </c>
      <c r="AI18" s="47" t="str">
        <f>IF(AND('Mapa final'!$Y$11="Alta",'Mapa final'!$AA$11="Catastrófico"),CONCATENATE("R3C",'Mapa final'!$O$11),"")</f>
        <v/>
      </c>
      <c r="AJ18" s="47" t="str">
        <f>IF(AND('Mapa final'!$Y$12="Alta",'Mapa final'!$AA$12="Catastrófico"),CONCATENATE("R3C",'Mapa final'!$O$12),"")</f>
        <v/>
      </c>
      <c r="AK18" s="47" t="str">
        <f>IF(AND('Mapa final'!$Y$13="Alta",'Mapa final'!$AA$13="Catastrófico"),CONCATENATE("R3C",'Mapa final'!$O$13),"")</f>
        <v/>
      </c>
      <c r="AL18" s="47" t="str">
        <f>IF(AND('Mapa final'!$Y$14="Alta",'Mapa final'!$AA$14="Catastrófico"),CONCATENATE("R3C",'Mapa final'!$O$14),"")</f>
        <v/>
      </c>
      <c r="AM18" s="48" t="str">
        <f>IF(AND('Mapa final'!$Y$15="Alta",'Mapa final'!$AA$15="Catastrófico"),CONCATENATE("R3C",'Mapa final'!$O$15),"")</f>
        <v/>
      </c>
      <c r="AN18" s="74"/>
      <c r="AO18" s="326"/>
      <c r="AP18" s="327"/>
      <c r="AQ18" s="327"/>
      <c r="AR18" s="327"/>
      <c r="AS18" s="327"/>
      <c r="AT18" s="328"/>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row>
    <row r="19" spans="1:76" ht="15" customHeight="1" x14ac:dyDescent="0.25">
      <c r="A19" s="74"/>
      <c r="B19" s="237"/>
      <c r="C19" s="237"/>
      <c r="D19" s="238"/>
      <c r="E19" s="336"/>
      <c r="F19" s="335"/>
      <c r="G19" s="335"/>
      <c r="H19" s="335"/>
      <c r="I19" s="335"/>
      <c r="J19" s="58" t="e">
        <f>IF(AND('Mapa final'!#REF!="Alta",'Mapa final'!#REF!="Leve"),CONCATENATE("R4C",'Mapa final'!#REF!),"")</f>
        <v>#REF!</v>
      </c>
      <c r="K19" s="59" t="e">
        <f>IF(AND('Mapa final'!#REF!="Alta",'Mapa final'!#REF!="Leve"),CONCATENATE("R4C",'Mapa final'!#REF!),"")</f>
        <v>#REF!</v>
      </c>
      <c r="L19" s="59" t="e">
        <f>IF(AND('Mapa final'!#REF!="Alta",'Mapa final'!#REF!="Leve"),CONCATENATE("R4C",'Mapa final'!#REF!),"")</f>
        <v>#REF!</v>
      </c>
      <c r="M19" s="59" t="e">
        <f>IF(AND('Mapa final'!#REF!="Alta",'Mapa final'!#REF!="Leve"),CONCATENATE("R4C",'Mapa final'!#REF!),"")</f>
        <v>#REF!</v>
      </c>
      <c r="N19" s="59" t="e">
        <f>IF(AND('Mapa final'!#REF!="Alta",'Mapa final'!#REF!="Leve"),CONCATENATE("R4C",'Mapa final'!#REF!),"")</f>
        <v>#REF!</v>
      </c>
      <c r="O19" s="60" t="e">
        <f>IF(AND('Mapa final'!#REF!="Alta",'Mapa final'!#REF!="Leve"),CONCATENATE("R4C",'Mapa final'!#REF!),"")</f>
        <v>#REF!</v>
      </c>
      <c r="P19" s="58" t="e">
        <f>IF(AND('Mapa final'!#REF!="Alta",'Mapa final'!#REF!="Menor"),CONCATENATE("R4C",'Mapa final'!#REF!),"")</f>
        <v>#REF!</v>
      </c>
      <c r="Q19" s="59" t="e">
        <f>IF(AND('Mapa final'!#REF!="Alta",'Mapa final'!#REF!="Menor"),CONCATENATE("R4C",'Mapa final'!#REF!),"")</f>
        <v>#REF!</v>
      </c>
      <c r="R19" s="59" t="e">
        <f>IF(AND('Mapa final'!#REF!="Alta",'Mapa final'!#REF!="Menor"),CONCATENATE("R4C",'Mapa final'!#REF!),"")</f>
        <v>#REF!</v>
      </c>
      <c r="S19" s="59" t="e">
        <f>IF(AND('Mapa final'!#REF!="Alta",'Mapa final'!#REF!="Menor"),CONCATENATE("R4C",'Mapa final'!#REF!),"")</f>
        <v>#REF!</v>
      </c>
      <c r="T19" s="59" t="e">
        <f>IF(AND('Mapa final'!#REF!="Alta",'Mapa final'!#REF!="Menor"),CONCATENATE("R4C",'Mapa final'!#REF!),"")</f>
        <v>#REF!</v>
      </c>
      <c r="U19" s="60" t="e">
        <f>IF(AND('Mapa final'!#REF!="Alta",'Mapa final'!#REF!="Menor"),CONCATENATE("R4C",'Mapa final'!#REF!),"")</f>
        <v>#REF!</v>
      </c>
      <c r="V19" s="43" t="e">
        <f>IF(AND('Mapa final'!#REF!="Alta",'Mapa final'!#REF!="Moderado"),CONCATENATE("R4C",'Mapa final'!#REF!),"")</f>
        <v>#REF!</v>
      </c>
      <c r="W19" s="44" t="e">
        <f>IF(AND('Mapa final'!#REF!="Alta",'Mapa final'!#REF!="Moderado"),CONCATENATE("R4C",'Mapa final'!#REF!),"")</f>
        <v>#REF!</v>
      </c>
      <c r="X19" s="44" t="e">
        <f>IF(AND('Mapa final'!#REF!="Alta",'Mapa final'!#REF!="Moderado"),CONCATENATE("R4C",'Mapa final'!#REF!),"")</f>
        <v>#REF!</v>
      </c>
      <c r="Y19" s="44" t="e">
        <f>IF(AND('Mapa final'!#REF!="Alta",'Mapa final'!#REF!="Moderado"),CONCATENATE("R4C",'Mapa final'!#REF!),"")</f>
        <v>#REF!</v>
      </c>
      <c r="Z19" s="44" t="e">
        <f>IF(AND('Mapa final'!#REF!="Alta",'Mapa final'!#REF!="Moderado"),CONCATENATE("R4C",'Mapa final'!#REF!),"")</f>
        <v>#REF!</v>
      </c>
      <c r="AA19" s="45" t="e">
        <f>IF(AND('Mapa final'!#REF!="Alta",'Mapa final'!#REF!="Moderado"),CONCATENATE("R4C",'Mapa final'!#REF!),"")</f>
        <v>#REF!</v>
      </c>
      <c r="AB19" s="43" t="e">
        <f>IF(AND('Mapa final'!#REF!="Alta",'Mapa final'!#REF!="Mayor"),CONCATENATE("R4C",'Mapa final'!#REF!),"")</f>
        <v>#REF!</v>
      </c>
      <c r="AC19" s="44" t="e">
        <f>IF(AND('Mapa final'!#REF!="Alta",'Mapa final'!#REF!="Mayor"),CONCATENATE("R4C",'Mapa final'!#REF!),"")</f>
        <v>#REF!</v>
      </c>
      <c r="AD19" s="44" t="e">
        <f>IF(AND('Mapa final'!#REF!="Alta",'Mapa final'!#REF!="Mayor"),CONCATENATE("R4C",'Mapa final'!#REF!),"")</f>
        <v>#REF!</v>
      </c>
      <c r="AE19" s="44" t="e">
        <f>IF(AND('Mapa final'!#REF!="Alta",'Mapa final'!#REF!="Mayor"),CONCATENATE("R4C",'Mapa final'!#REF!),"")</f>
        <v>#REF!</v>
      </c>
      <c r="AF19" s="44" t="e">
        <f>IF(AND('Mapa final'!#REF!="Alta",'Mapa final'!#REF!="Mayor"),CONCATENATE("R4C",'Mapa final'!#REF!),"")</f>
        <v>#REF!</v>
      </c>
      <c r="AG19" s="45" t="e">
        <f>IF(AND('Mapa final'!#REF!="Alta",'Mapa final'!#REF!="Mayor"),CONCATENATE("R4C",'Mapa final'!#REF!),"")</f>
        <v>#REF!</v>
      </c>
      <c r="AH19" s="46" t="e">
        <f>IF(AND('Mapa final'!#REF!="Alta",'Mapa final'!#REF!="Catastrófico"),CONCATENATE("R4C",'Mapa final'!#REF!),"")</f>
        <v>#REF!</v>
      </c>
      <c r="AI19" s="47" t="e">
        <f>IF(AND('Mapa final'!#REF!="Alta",'Mapa final'!#REF!="Catastrófico"),CONCATENATE("R4C",'Mapa final'!#REF!),"")</f>
        <v>#REF!</v>
      </c>
      <c r="AJ19" s="47" t="e">
        <f>IF(AND('Mapa final'!#REF!="Alta",'Mapa final'!#REF!="Catastrófico"),CONCATENATE("R4C",'Mapa final'!#REF!),"")</f>
        <v>#REF!</v>
      </c>
      <c r="AK19" s="47" t="e">
        <f>IF(AND('Mapa final'!#REF!="Alta",'Mapa final'!#REF!="Catastrófico"),CONCATENATE("R4C",'Mapa final'!#REF!),"")</f>
        <v>#REF!</v>
      </c>
      <c r="AL19" s="47" t="e">
        <f>IF(AND('Mapa final'!#REF!="Alta",'Mapa final'!#REF!="Catastrófico"),CONCATENATE("R4C",'Mapa final'!#REF!),"")</f>
        <v>#REF!</v>
      </c>
      <c r="AM19" s="48" t="e">
        <f>IF(AND('Mapa final'!#REF!="Alta",'Mapa final'!#REF!="Catastrófico"),CONCATENATE("R4C",'Mapa final'!#REF!),"")</f>
        <v>#REF!</v>
      </c>
      <c r="AN19" s="74"/>
      <c r="AO19" s="326"/>
      <c r="AP19" s="327"/>
      <c r="AQ19" s="327"/>
      <c r="AR19" s="327"/>
      <c r="AS19" s="327"/>
      <c r="AT19" s="328"/>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row>
    <row r="20" spans="1:76" ht="15" customHeight="1" x14ac:dyDescent="0.25">
      <c r="A20" s="74"/>
      <c r="B20" s="237"/>
      <c r="C20" s="237"/>
      <c r="D20" s="238"/>
      <c r="E20" s="336"/>
      <c r="F20" s="335"/>
      <c r="G20" s="335"/>
      <c r="H20" s="335"/>
      <c r="I20" s="335"/>
      <c r="J20" s="58" t="str">
        <f ca="1">IF(AND('Mapa final'!$Y$16="Alta",'Mapa final'!$AA$16="Leve"),CONCATENATE("R5C",'Mapa final'!$O$16),"")</f>
        <v/>
      </c>
      <c r="K20" s="59" t="str">
        <f>IF(AND('Mapa final'!$Y$17="Alta",'Mapa final'!$AA$17="Leve"),CONCATENATE("R5C",'Mapa final'!$O$17),"")</f>
        <v/>
      </c>
      <c r="L20" s="59" t="str">
        <f>IF(AND('Mapa final'!$Y$18="Alta",'Mapa final'!$AA$18="Leve"),CONCATENATE("R5C",'Mapa final'!$O$18),"")</f>
        <v/>
      </c>
      <c r="M20" s="59" t="str">
        <f>IF(AND('Mapa final'!$Y$19="Alta",'Mapa final'!$AA$19="Leve"),CONCATENATE("R5C",'Mapa final'!$O$19),"")</f>
        <v/>
      </c>
      <c r="N20" s="59" t="str">
        <f>IF(AND('Mapa final'!$Y$20="Alta",'Mapa final'!$AA$20="Leve"),CONCATENATE("R5C",'Mapa final'!$O$20),"")</f>
        <v/>
      </c>
      <c r="O20" s="60" t="str">
        <f>IF(AND('Mapa final'!$Y$21="Alta",'Mapa final'!$AA$21="Leve"),CONCATENATE("R5C",'Mapa final'!$O$21),"")</f>
        <v/>
      </c>
      <c r="P20" s="58" t="str">
        <f ca="1">IF(AND('Mapa final'!$Y$16="Alta",'Mapa final'!$AA$16="Menor"),CONCATENATE("R5C",'Mapa final'!$O$16),"")</f>
        <v/>
      </c>
      <c r="Q20" s="59" t="str">
        <f>IF(AND('Mapa final'!$Y$17="Alta",'Mapa final'!$AA$17="Menor"),CONCATENATE("R5C",'Mapa final'!$O$17),"")</f>
        <v/>
      </c>
      <c r="R20" s="59" t="str">
        <f>IF(AND('Mapa final'!$Y$18="Alta",'Mapa final'!$AA$18="Menor"),CONCATENATE("R5C",'Mapa final'!$O$18),"")</f>
        <v/>
      </c>
      <c r="S20" s="59" t="str">
        <f>IF(AND('Mapa final'!$Y$19="Alta",'Mapa final'!$AA$19="Menor"),CONCATENATE("R5C",'Mapa final'!$O$19),"")</f>
        <v/>
      </c>
      <c r="T20" s="59" t="str">
        <f>IF(AND('Mapa final'!$Y$20="Alta",'Mapa final'!$AA$20="Menor"),CONCATENATE("R5C",'Mapa final'!$O$20),"")</f>
        <v/>
      </c>
      <c r="U20" s="60" t="str">
        <f>IF(AND('Mapa final'!$Y$21="Alta",'Mapa final'!$AA$21="Menor"),CONCATENATE("R5C",'Mapa final'!$O$21),"")</f>
        <v/>
      </c>
      <c r="V20" s="43" t="str">
        <f ca="1">IF(AND('Mapa final'!$Y$16="Alta",'Mapa final'!$AA$16="Moderado"),CONCATENATE("R5C",'Mapa final'!$O$16),"")</f>
        <v/>
      </c>
      <c r="W20" s="44" t="str">
        <f>IF(AND('Mapa final'!$Y$17="Alta",'Mapa final'!$AA$17="Moderado"),CONCATENATE("R5C",'Mapa final'!$O$17),"")</f>
        <v/>
      </c>
      <c r="X20" s="44" t="str">
        <f>IF(AND('Mapa final'!$Y$18="Alta",'Mapa final'!$AA$18="Moderado"),CONCATENATE("R5C",'Mapa final'!$O$18),"")</f>
        <v/>
      </c>
      <c r="Y20" s="44" t="str">
        <f>IF(AND('Mapa final'!$Y$19="Alta",'Mapa final'!$AA$19="Moderado"),CONCATENATE("R5C",'Mapa final'!$O$19),"")</f>
        <v/>
      </c>
      <c r="Z20" s="44" t="str">
        <f>IF(AND('Mapa final'!$Y$20="Alta",'Mapa final'!$AA$20="Moderado"),CONCATENATE("R5C",'Mapa final'!$O$20),"")</f>
        <v/>
      </c>
      <c r="AA20" s="45" t="str">
        <f>IF(AND('Mapa final'!$Y$21="Alta",'Mapa final'!$AA$21="Moderado"),CONCATENATE("R5C",'Mapa final'!$O$21),"")</f>
        <v/>
      </c>
      <c r="AB20" s="43" t="str">
        <f ca="1">IF(AND('Mapa final'!$Y$16="Alta",'Mapa final'!$AA$16="Mayor"),CONCATENATE("R5C",'Mapa final'!$O$16),"")</f>
        <v/>
      </c>
      <c r="AC20" s="44" t="str">
        <f>IF(AND('Mapa final'!$Y$17="Alta",'Mapa final'!$AA$17="Mayor"),CONCATENATE("R5C",'Mapa final'!$O$17),"")</f>
        <v/>
      </c>
      <c r="AD20" s="44" t="str">
        <f>IF(AND('Mapa final'!$Y$18="Alta",'Mapa final'!$AA$18="Mayor"),CONCATENATE("R5C",'Mapa final'!$O$18),"")</f>
        <v/>
      </c>
      <c r="AE20" s="44" t="str">
        <f>IF(AND('Mapa final'!$Y$19="Alta",'Mapa final'!$AA$19="Mayor"),CONCATENATE("R5C",'Mapa final'!$O$19),"")</f>
        <v/>
      </c>
      <c r="AF20" s="44" t="str">
        <f>IF(AND('Mapa final'!$Y$20="Alta",'Mapa final'!$AA$20="Mayor"),CONCATENATE("R5C",'Mapa final'!$O$20),"")</f>
        <v/>
      </c>
      <c r="AG20" s="45" t="str">
        <f>IF(AND('Mapa final'!$Y$21="Alta",'Mapa final'!$AA$21="Mayor"),CONCATENATE("R5C",'Mapa final'!$O$21),"")</f>
        <v/>
      </c>
      <c r="AH20" s="46" t="str">
        <f ca="1">IF(AND('Mapa final'!$Y$16="Alta",'Mapa final'!$AA$16="Catastrófico"),CONCATENATE("R5C",'Mapa final'!$O$16),"")</f>
        <v/>
      </c>
      <c r="AI20" s="47" t="str">
        <f>IF(AND('Mapa final'!$Y$17="Alta",'Mapa final'!$AA$17="Catastrófico"),CONCATENATE("R5C",'Mapa final'!$O$17),"")</f>
        <v/>
      </c>
      <c r="AJ20" s="47" t="str">
        <f>IF(AND('Mapa final'!$Y$18="Alta",'Mapa final'!$AA$18="Catastrófico"),CONCATENATE("R5C",'Mapa final'!$O$18),"")</f>
        <v/>
      </c>
      <c r="AK20" s="47" t="str">
        <f>IF(AND('Mapa final'!$Y$19="Alta",'Mapa final'!$AA$19="Catastrófico"),CONCATENATE("R5C",'Mapa final'!$O$19),"")</f>
        <v/>
      </c>
      <c r="AL20" s="47" t="str">
        <f>IF(AND('Mapa final'!$Y$20="Alta",'Mapa final'!$AA$20="Catastrófico"),CONCATENATE("R5C",'Mapa final'!$O$20),"")</f>
        <v/>
      </c>
      <c r="AM20" s="48" t="str">
        <f>IF(AND('Mapa final'!$Y$21="Alta",'Mapa final'!$AA$21="Catastrófico"),CONCATENATE("R5C",'Mapa final'!$O$21),"")</f>
        <v/>
      </c>
      <c r="AN20" s="74"/>
      <c r="AO20" s="326"/>
      <c r="AP20" s="327"/>
      <c r="AQ20" s="327"/>
      <c r="AR20" s="327"/>
      <c r="AS20" s="327"/>
      <c r="AT20" s="328"/>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row>
    <row r="21" spans="1:76" ht="15" customHeight="1" x14ac:dyDescent="0.25">
      <c r="A21" s="74"/>
      <c r="B21" s="237"/>
      <c r="C21" s="237"/>
      <c r="D21" s="238"/>
      <c r="E21" s="336"/>
      <c r="F21" s="335"/>
      <c r="G21" s="335"/>
      <c r="H21" s="335"/>
      <c r="I21" s="335"/>
      <c r="J21" s="58" t="str">
        <f ca="1">IF(AND('Mapa final'!$Y$28="Alta",'Mapa final'!$AA$28="Leve"),CONCATENATE("R6C",'Mapa final'!$O$28),"")</f>
        <v/>
      </c>
      <c r="K21" s="59" t="str">
        <f ca="1">IF(AND('Mapa final'!$Y$29="Alta",'Mapa final'!$AA$29="Leve"),CONCATENATE("R6C",'Mapa final'!$O$29),"")</f>
        <v/>
      </c>
      <c r="L21" s="59" t="str">
        <f>IF(AND('Mapa final'!$Y$30="Alta",'Mapa final'!$AA$30="Leve"),CONCATENATE("R6C",'Mapa final'!$O$30),"")</f>
        <v/>
      </c>
      <c r="M21" s="59" t="str">
        <f>IF(AND('Mapa final'!$Y$31="Alta",'Mapa final'!$AA$31="Leve"),CONCATENATE("R6C",'Mapa final'!$O$31),"")</f>
        <v/>
      </c>
      <c r="N21" s="59" t="str">
        <f>IF(AND('Mapa final'!$Y$32="Alta",'Mapa final'!$AA$32="Leve"),CONCATENATE("R6C",'Mapa final'!$O$32),"")</f>
        <v/>
      </c>
      <c r="O21" s="60" t="str">
        <f>IF(AND('Mapa final'!$Y$33="Alta",'Mapa final'!$AA$33="Leve"),CONCATENATE("R6C",'Mapa final'!$O$33),"")</f>
        <v/>
      </c>
      <c r="P21" s="58" t="str">
        <f ca="1">IF(AND('Mapa final'!$Y$28="Alta",'Mapa final'!$AA$28="Menor"),CONCATENATE("R6C",'Mapa final'!$O$28),"")</f>
        <v/>
      </c>
      <c r="Q21" s="59" t="str">
        <f ca="1">IF(AND('Mapa final'!$Y$29="Alta",'Mapa final'!$AA$29="Menor"),CONCATENATE("R6C",'Mapa final'!$O$29),"")</f>
        <v/>
      </c>
      <c r="R21" s="59" t="str">
        <f>IF(AND('Mapa final'!$Y$30="Alta",'Mapa final'!$AA$30="Menor"),CONCATENATE("R6C",'Mapa final'!$O$30),"")</f>
        <v/>
      </c>
      <c r="S21" s="59" t="str">
        <f>IF(AND('Mapa final'!$Y$31="Alta",'Mapa final'!$AA$31="Menor"),CONCATENATE("R6C",'Mapa final'!$O$31),"")</f>
        <v/>
      </c>
      <c r="T21" s="59" t="str">
        <f>IF(AND('Mapa final'!$Y$32="Alta",'Mapa final'!$AA$32="Menor"),CONCATENATE("R6C",'Mapa final'!$O$32),"")</f>
        <v/>
      </c>
      <c r="U21" s="60" t="str">
        <f>IF(AND('Mapa final'!$Y$33="Alta",'Mapa final'!$AA$33="Menor"),CONCATENATE("R6C",'Mapa final'!$O$33),"")</f>
        <v/>
      </c>
      <c r="V21" s="43" t="str">
        <f ca="1">IF(AND('Mapa final'!$Y$28="Alta",'Mapa final'!$AA$28="Moderado"),CONCATENATE("R6C",'Mapa final'!$O$28),"")</f>
        <v/>
      </c>
      <c r="W21" s="44" t="str">
        <f ca="1">IF(AND('Mapa final'!$Y$29="Alta",'Mapa final'!$AA$29="Moderado"),CONCATENATE("R6C",'Mapa final'!$O$29),"")</f>
        <v/>
      </c>
      <c r="X21" s="44" t="str">
        <f>IF(AND('Mapa final'!$Y$30="Alta",'Mapa final'!$AA$30="Moderado"),CONCATENATE("R6C",'Mapa final'!$O$30),"")</f>
        <v/>
      </c>
      <c r="Y21" s="44" t="str">
        <f>IF(AND('Mapa final'!$Y$31="Alta",'Mapa final'!$AA$31="Moderado"),CONCATENATE("R6C",'Mapa final'!$O$31),"")</f>
        <v/>
      </c>
      <c r="Z21" s="44" t="str">
        <f>IF(AND('Mapa final'!$Y$32="Alta",'Mapa final'!$AA$32="Moderado"),CONCATENATE("R6C",'Mapa final'!$O$32),"")</f>
        <v/>
      </c>
      <c r="AA21" s="45" t="str">
        <f>IF(AND('Mapa final'!$Y$33="Alta",'Mapa final'!$AA$33="Moderado"),CONCATENATE("R6C",'Mapa final'!$O$33),"")</f>
        <v/>
      </c>
      <c r="AB21" s="43" t="str">
        <f ca="1">IF(AND('Mapa final'!$Y$28="Alta",'Mapa final'!$AA$28="Mayor"),CONCATENATE("R6C",'Mapa final'!$O$28),"")</f>
        <v/>
      </c>
      <c r="AC21" s="44" t="str">
        <f ca="1">IF(AND('Mapa final'!$Y$29="Alta",'Mapa final'!$AA$29="Mayor"),CONCATENATE("R6C",'Mapa final'!$O$29),"")</f>
        <v/>
      </c>
      <c r="AD21" s="44" t="str">
        <f>IF(AND('Mapa final'!$Y$30="Alta",'Mapa final'!$AA$30="Mayor"),CONCATENATE("R6C",'Mapa final'!$O$30),"")</f>
        <v/>
      </c>
      <c r="AE21" s="44" t="str">
        <f>IF(AND('Mapa final'!$Y$31="Alta",'Mapa final'!$AA$31="Mayor"),CONCATENATE("R6C",'Mapa final'!$O$31),"")</f>
        <v/>
      </c>
      <c r="AF21" s="44" t="str">
        <f>IF(AND('Mapa final'!$Y$32="Alta",'Mapa final'!$AA$32="Mayor"),CONCATENATE("R6C",'Mapa final'!$O$32),"")</f>
        <v/>
      </c>
      <c r="AG21" s="45" t="str">
        <f>IF(AND('Mapa final'!$Y$33="Alta",'Mapa final'!$AA$33="Mayor"),CONCATENATE("R6C",'Mapa final'!$O$33),"")</f>
        <v/>
      </c>
      <c r="AH21" s="46" t="str">
        <f ca="1">IF(AND('Mapa final'!$Y$28="Alta",'Mapa final'!$AA$28="Catastrófico"),CONCATENATE("R6C",'Mapa final'!$O$28),"")</f>
        <v/>
      </c>
      <c r="AI21" s="47" t="str">
        <f ca="1">IF(AND('Mapa final'!$Y$29="Alta",'Mapa final'!$AA$29="Catastrófico"),CONCATENATE("R6C",'Mapa final'!$O$29),"")</f>
        <v/>
      </c>
      <c r="AJ21" s="47" t="str">
        <f>IF(AND('Mapa final'!$Y$30="Alta",'Mapa final'!$AA$30="Catastrófico"),CONCATENATE("R6C",'Mapa final'!$O$30),"")</f>
        <v/>
      </c>
      <c r="AK21" s="47" t="str">
        <f>IF(AND('Mapa final'!$Y$31="Alta",'Mapa final'!$AA$31="Catastrófico"),CONCATENATE("R6C",'Mapa final'!$O$31),"")</f>
        <v/>
      </c>
      <c r="AL21" s="47" t="str">
        <f>IF(AND('Mapa final'!$Y$32="Alta",'Mapa final'!$AA$32="Catastrófico"),CONCATENATE("R6C",'Mapa final'!$O$32),"")</f>
        <v/>
      </c>
      <c r="AM21" s="48" t="str">
        <f>IF(AND('Mapa final'!$Y$33="Alta",'Mapa final'!$AA$33="Catastrófico"),CONCATENATE("R6C",'Mapa final'!$O$33),"")</f>
        <v/>
      </c>
      <c r="AN21" s="74"/>
      <c r="AO21" s="326"/>
      <c r="AP21" s="327"/>
      <c r="AQ21" s="327"/>
      <c r="AR21" s="327"/>
      <c r="AS21" s="327"/>
      <c r="AT21" s="328"/>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row>
    <row r="22" spans="1:76" ht="15" customHeight="1" x14ac:dyDescent="0.25">
      <c r="A22" s="74"/>
      <c r="B22" s="237"/>
      <c r="C22" s="237"/>
      <c r="D22" s="238"/>
      <c r="E22" s="336"/>
      <c r="F22" s="335"/>
      <c r="G22" s="335"/>
      <c r="H22" s="335"/>
      <c r="I22" s="335"/>
      <c r="J22" s="58" t="str">
        <f ca="1">IF(AND('Mapa final'!$Y$34="Alta",'Mapa final'!$AA$34="Leve"),CONCATENATE("R7C",'Mapa final'!$O$34),"")</f>
        <v/>
      </c>
      <c r="K22" s="59" t="str">
        <f ca="1">IF(AND('Mapa final'!$Y$35="Alta",'Mapa final'!$AA$35="Leve"),CONCATENATE("R7C",'Mapa final'!$O$35),"")</f>
        <v/>
      </c>
      <c r="L22" s="59" t="str">
        <f>IF(AND('Mapa final'!$Y$36="Alta",'Mapa final'!$AA$36="Leve"),CONCATENATE("R7C",'Mapa final'!$O$36),"")</f>
        <v/>
      </c>
      <c r="M22" s="59" t="str">
        <f>IF(AND('Mapa final'!$Y$37="Alta",'Mapa final'!$AA$37="Leve"),CONCATENATE("R7C",'Mapa final'!$O$37),"")</f>
        <v/>
      </c>
      <c r="N22" s="59" t="str">
        <f>IF(AND('Mapa final'!$Y$38="Alta",'Mapa final'!$AA$38="Leve"),CONCATENATE("R7C",'Mapa final'!$O$38),"")</f>
        <v/>
      </c>
      <c r="O22" s="60" t="str">
        <f>IF(AND('Mapa final'!$Y$39="Alta",'Mapa final'!$AA$39="Leve"),CONCATENATE("R7C",'Mapa final'!$O$39),"")</f>
        <v/>
      </c>
      <c r="P22" s="58" t="str">
        <f ca="1">IF(AND('Mapa final'!$Y$34="Alta",'Mapa final'!$AA$34="Menor"),CONCATENATE("R7C",'Mapa final'!$O$34),"")</f>
        <v/>
      </c>
      <c r="Q22" s="59" t="str">
        <f ca="1">IF(AND('Mapa final'!$Y$35="Alta",'Mapa final'!$AA$35="Menor"),CONCATENATE("R7C",'Mapa final'!$O$35),"")</f>
        <v/>
      </c>
      <c r="R22" s="59" t="str">
        <f>IF(AND('Mapa final'!$Y$36="Alta",'Mapa final'!$AA$36="Menor"),CONCATENATE("R7C",'Mapa final'!$O$36),"")</f>
        <v/>
      </c>
      <c r="S22" s="59" t="str">
        <f>IF(AND('Mapa final'!$Y$37="Alta",'Mapa final'!$AA$37="Menor"),CONCATENATE("R7C",'Mapa final'!$O$37),"")</f>
        <v/>
      </c>
      <c r="T22" s="59" t="str">
        <f>IF(AND('Mapa final'!$Y$38="Alta",'Mapa final'!$AA$38="Menor"),CONCATENATE("R7C",'Mapa final'!$O$38),"")</f>
        <v/>
      </c>
      <c r="U22" s="60" t="str">
        <f>IF(AND('Mapa final'!$Y$39="Alta",'Mapa final'!$AA$39="Menor"),CONCATENATE("R7C",'Mapa final'!$O$39),"")</f>
        <v/>
      </c>
      <c r="V22" s="43" t="str">
        <f ca="1">IF(AND('Mapa final'!$Y$34="Alta",'Mapa final'!$AA$34="Moderado"),CONCATENATE("R7C",'Mapa final'!$O$34),"")</f>
        <v/>
      </c>
      <c r="W22" s="44" t="str">
        <f ca="1">IF(AND('Mapa final'!$Y$35="Alta",'Mapa final'!$AA$35="Moderado"),CONCATENATE("R7C",'Mapa final'!$O$35),"")</f>
        <v/>
      </c>
      <c r="X22" s="44" t="str">
        <f>IF(AND('Mapa final'!$Y$36="Alta",'Mapa final'!$AA$36="Moderado"),CONCATENATE("R7C",'Mapa final'!$O$36),"")</f>
        <v/>
      </c>
      <c r="Y22" s="44" t="str">
        <f>IF(AND('Mapa final'!$Y$37="Alta",'Mapa final'!$AA$37="Moderado"),CONCATENATE("R7C",'Mapa final'!$O$37),"")</f>
        <v/>
      </c>
      <c r="Z22" s="44" t="str">
        <f>IF(AND('Mapa final'!$Y$38="Alta",'Mapa final'!$AA$38="Moderado"),CONCATENATE("R7C",'Mapa final'!$O$38),"")</f>
        <v/>
      </c>
      <c r="AA22" s="45" t="str">
        <f>IF(AND('Mapa final'!$Y$39="Alta",'Mapa final'!$AA$39="Moderado"),CONCATENATE("R7C",'Mapa final'!$O$39),"")</f>
        <v/>
      </c>
      <c r="AB22" s="43" t="str">
        <f ca="1">IF(AND('Mapa final'!$Y$34="Alta",'Mapa final'!$AA$34="Mayor"),CONCATENATE("R7C",'Mapa final'!$O$34),"")</f>
        <v/>
      </c>
      <c r="AC22" s="44" t="str">
        <f ca="1">IF(AND('Mapa final'!$Y$35="Alta",'Mapa final'!$AA$35="Mayor"),CONCATENATE("R7C",'Mapa final'!$O$35),"")</f>
        <v/>
      </c>
      <c r="AD22" s="44" t="str">
        <f>IF(AND('Mapa final'!$Y$36="Alta",'Mapa final'!$AA$36="Mayor"),CONCATENATE("R7C",'Mapa final'!$O$36),"")</f>
        <v/>
      </c>
      <c r="AE22" s="44" t="str">
        <f>IF(AND('Mapa final'!$Y$37="Alta",'Mapa final'!$AA$37="Mayor"),CONCATENATE("R7C",'Mapa final'!$O$37),"")</f>
        <v/>
      </c>
      <c r="AF22" s="44" t="str">
        <f>IF(AND('Mapa final'!$Y$38="Alta",'Mapa final'!$AA$38="Mayor"),CONCATENATE("R7C",'Mapa final'!$O$38),"")</f>
        <v/>
      </c>
      <c r="AG22" s="45" t="str">
        <f>IF(AND('Mapa final'!$Y$39="Alta",'Mapa final'!$AA$39="Mayor"),CONCATENATE("R7C",'Mapa final'!$O$39),"")</f>
        <v/>
      </c>
      <c r="AH22" s="46" t="str">
        <f ca="1">IF(AND('Mapa final'!$Y$34="Alta",'Mapa final'!$AA$34="Catastrófico"),CONCATENATE("R7C",'Mapa final'!$O$34),"")</f>
        <v/>
      </c>
      <c r="AI22" s="47" t="str">
        <f ca="1">IF(AND('Mapa final'!$Y$35="Alta",'Mapa final'!$AA$35="Catastrófico"),CONCATENATE("R7C",'Mapa final'!$O$35),"")</f>
        <v/>
      </c>
      <c r="AJ22" s="47" t="str">
        <f>IF(AND('Mapa final'!$Y$36="Alta",'Mapa final'!$AA$36="Catastrófico"),CONCATENATE("R7C",'Mapa final'!$O$36),"")</f>
        <v/>
      </c>
      <c r="AK22" s="47" t="str">
        <f>IF(AND('Mapa final'!$Y$37="Alta",'Mapa final'!$AA$37="Catastrófico"),CONCATENATE("R7C",'Mapa final'!$O$37),"")</f>
        <v/>
      </c>
      <c r="AL22" s="47" t="str">
        <f>IF(AND('Mapa final'!$Y$38="Alta",'Mapa final'!$AA$38="Catastrófico"),CONCATENATE("R7C",'Mapa final'!$O$38),"")</f>
        <v/>
      </c>
      <c r="AM22" s="48" t="str">
        <f>IF(AND('Mapa final'!$Y$39="Alta",'Mapa final'!$AA$39="Catastrófico"),CONCATENATE("R7C",'Mapa final'!$O$39),"")</f>
        <v/>
      </c>
      <c r="AN22" s="74"/>
      <c r="AO22" s="326"/>
      <c r="AP22" s="327"/>
      <c r="AQ22" s="327"/>
      <c r="AR22" s="327"/>
      <c r="AS22" s="327"/>
      <c r="AT22" s="328"/>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row>
    <row r="23" spans="1:76" ht="15" customHeight="1" x14ac:dyDescent="0.25">
      <c r="A23" s="74"/>
      <c r="B23" s="237"/>
      <c r="C23" s="237"/>
      <c r="D23" s="238"/>
      <c r="E23" s="336"/>
      <c r="F23" s="335"/>
      <c r="G23" s="335"/>
      <c r="H23" s="335"/>
      <c r="I23" s="335"/>
      <c r="J23" s="58" t="str">
        <f ca="1">IF(AND('Mapa final'!$Y$40="Alta",'Mapa final'!$AA$40="Leve"),CONCATENATE("R8C",'Mapa final'!$O$40),"")</f>
        <v/>
      </c>
      <c r="K23" s="59" t="str">
        <f>IF(AND('Mapa final'!$Y$41="Alta",'Mapa final'!$AA$41="Leve"),CONCATENATE("R8C",'Mapa final'!$O$41),"")</f>
        <v/>
      </c>
      <c r="L23" s="59" t="str">
        <f>IF(AND('Mapa final'!$Y$42="Alta",'Mapa final'!$AA$42="Leve"),CONCATENATE("R8C",'Mapa final'!$O$42),"")</f>
        <v/>
      </c>
      <c r="M23" s="59" t="str">
        <f>IF(AND('Mapa final'!$Y$43="Alta",'Mapa final'!$AA$43="Leve"),CONCATENATE("R8C",'Mapa final'!$O$43),"")</f>
        <v/>
      </c>
      <c r="N23" s="59" t="str">
        <f>IF(AND('Mapa final'!$Y$44="Alta",'Mapa final'!$AA$44="Leve"),CONCATENATE("R8C",'Mapa final'!$O$44),"")</f>
        <v/>
      </c>
      <c r="O23" s="60" t="str">
        <f>IF(AND('Mapa final'!$Y$45="Alta",'Mapa final'!$AA$45="Leve"),CONCATENATE("R8C",'Mapa final'!$O$45),"")</f>
        <v/>
      </c>
      <c r="P23" s="58" t="str">
        <f ca="1">IF(AND('Mapa final'!$Y$40="Alta",'Mapa final'!$AA$40="Menor"),CONCATENATE("R8C",'Mapa final'!$O$40),"")</f>
        <v/>
      </c>
      <c r="Q23" s="59" t="str">
        <f>IF(AND('Mapa final'!$Y$41="Alta",'Mapa final'!$AA$41="Menor"),CONCATENATE("R8C",'Mapa final'!$O$41),"")</f>
        <v/>
      </c>
      <c r="R23" s="59" t="str">
        <f>IF(AND('Mapa final'!$Y$42="Alta",'Mapa final'!$AA$42="Menor"),CONCATENATE("R8C",'Mapa final'!$O$42),"")</f>
        <v/>
      </c>
      <c r="S23" s="59" t="str">
        <f>IF(AND('Mapa final'!$Y$43="Alta",'Mapa final'!$AA$43="Menor"),CONCATENATE("R8C",'Mapa final'!$O$43),"")</f>
        <v/>
      </c>
      <c r="T23" s="59" t="str">
        <f>IF(AND('Mapa final'!$Y$44="Alta",'Mapa final'!$AA$44="Menor"),CONCATENATE("R8C",'Mapa final'!$O$44),"")</f>
        <v/>
      </c>
      <c r="U23" s="60" t="str">
        <f>IF(AND('Mapa final'!$Y$45="Alta",'Mapa final'!$AA$45="Menor"),CONCATENATE("R8C",'Mapa final'!$O$45),"")</f>
        <v/>
      </c>
      <c r="V23" s="43" t="str">
        <f ca="1">IF(AND('Mapa final'!$Y$40="Alta",'Mapa final'!$AA$40="Moderado"),CONCATENATE("R8C",'Mapa final'!$O$40),"")</f>
        <v/>
      </c>
      <c r="W23" s="44" t="str">
        <f>IF(AND('Mapa final'!$Y$41="Alta",'Mapa final'!$AA$41="Moderado"),CONCATENATE("R8C",'Mapa final'!$O$41),"")</f>
        <v/>
      </c>
      <c r="X23" s="44" t="str">
        <f>IF(AND('Mapa final'!$Y$42="Alta",'Mapa final'!$AA$42="Moderado"),CONCATENATE("R8C",'Mapa final'!$O$42),"")</f>
        <v/>
      </c>
      <c r="Y23" s="44" t="str">
        <f>IF(AND('Mapa final'!$Y$43="Alta",'Mapa final'!$AA$43="Moderado"),CONCATENATE("R8C",'Mapa final'!$O$43),"")</f>
        <v/>
      </c>
      <c r="Z23" s="44" t="str">
        <f>IF(AND('Mapa final'!$Y$44="Alta",'Mapa final'!$AA$44="Moderado"),CONCATENATE("R8C",'Mapa final'!$O$44),"")</f>
        <v/>
      </c>
      <c r="AA23" s="45" t="str">
        <f>IF(AND('Mapa final'!$Y$45="Alta",'Mapa final'!$AA$45="Moderado"),CONCATENATE("R8C",'Mapa final'!$O$45),"")</f>
        <v/>
      </c>
      <c r="AB23" s="43" t="str">
        <f ca="1">IF(AND('Mapa final'!$Y$40="Alta",'Mapa final'!$AA$40="Mayor"),CONCATENATE("R8C",'Mapa final'!$O$40),"")</f>
        <v/>
      </c>
      <c r="AC23" s="44" t="str">
        <f>IF(AND('Mapa final'!$Y$41="Alta",'Mapa final'!$AA$41="Mayor"),CONCATENATE("R8C",'Mapa final'!$O$41),"")</f>
        <v/>
      </c>
      <c r="AD23" s="44" t="str">
        <f>IF(AND('Mapa final'!$Y$42="Alta",'Mapa final'!$AA$42="Mayor"),CONCATENATE("R8C",'Mapa final'!$O$42),"")</f>
        <v/>
      </c>
      <c r="AE23" s="44" t="str">
        <f>IF(AND('Mapa final'!$Y$43="Alta",'Mapa final'!$AA$43="Mayor"),CONCATENATE("R8C",'Mapa final'!$O$43),"")</f>
        <v/>
      </c>
      <c r="AF23" s="44" t="str">
        <f>IF(AND('Mapa final'!$Y$44="Alta",'Mapa final'!$AA$44="Mayor"),CONCATENATE("R8C",'Mapa final'!$O$44),"")</f>
        <v/>
      </c>
      <c r="AG23" s="45" t="str">
        <f>IF(AND('Mapa final'!$Y$45="Alta",'Mapa final'!$AA$45="Mayor"),CONCATENATE("R8C",'Mapa final'!$O$45),"")</f>
        <v/>
      </c>
      <c r="AH23" s="46" t="str">
        <f ca="1">IF(AND('Mapa final'!$Y$40="Alta",'Mapa final'!$AA$40="Catastrófico"),CONCATENATE("R8C",'Mapa final'!$O$40),"")</f>
        <v/>
      </c>
      <c r="AI23" s="47" t="str">
        <f>IF(AND('Mapa final'!$Y$41="Alta",'Mapa final'!$AA$41="Catastrófico"),CONCATENATE("R8C",'Mapa final'!$O$41),"")</f>
        <v/>
      </c>
      <c r="AJ23" s="47" t="str">
        <f>IF(AND('Mapa final'!$Y$42="Alta",'Mapa final'!$AA$42="Catastrófico"),CONCATENATE("R8C",'Mapa final'!$O$42),"")</f>
        <v/>
      </c>
      <c r="AK23" s="47" t="str">
        <f>IF(AND('Mapa final'!$Y$43="Alta",'Mapa final'!$AA$43="Catastrófico"),CONCATENATE("R8C",'Mapa final'!$O$43),"")</f>
        <v/>
      </c>
      <c r="AL23" s="47" t="str">
        <f>IF(AND('Mapa final'!$Y$44="Alta",'Mapa final'!$AA$44="Catastrófico"),CONCATENATE("R8C",'Mapa final'!$O$44),"")</f>
        <v/>
      </c>
      <c r="AM23" s="48" t="str">
        <f>IF(AND('Mapa final'!$Y$45="Alta",'Mapa final'!$AA$45="Catastrófico"),CONCATENATE("R8C",'Mapa final'!$O$45),"")</f>
        <v/>
      </c>
      <c r="AN23" s="74"/>
      <c r="AO23" s="326"/>
      <c r="AP23" s="327"/>
      <c r="AQ23" s="327"/>
      <c r="AR23" s="327"/>
      <c r="AS23" s="327"/>
      <c r="AT23" s="328"/>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row>
    <row r="24" spans="1:76" ht="15" customHeight="1" x14ac:dyDescent="0.25">
      <c r="A24" s="74"/>
      <c r="B24" s="237"/>
      <c r="C24" s="237"/>
      <c r="D24" s="238"/>
      <c r="E24" s="336"/>
      <c r="F24" s="335"/>
      <c r="G24" s="335"/>
      <c r="H24" s="335"/>
      <c r="I24" s="335"/>
      <c r="J24" s="58" t="str">
        <f ca="1">IF(AND('Mapa final'!$Y$46="Alta",'Mapa final'!$AA$46="Leve"),CONCATENATE("R9C",'Mapa final'!$O$46),"")</f>
        <v/>
      </c>
      <c r="K24" s="59" t="str">
        <f ca="1">IF(AND('Mapa final'!$Y$47="Alta",'Mapa final'!$AA$47="Leve"),CONCATENATE("R9C",'Mapa final'!$O$47),"")</f>
        <v/>
      </c>
      <c r="L24" s="59" t="str">
        <f>IF(AND('Mapa final'!$Y$48="Alta",'Mapa final'!$AA$48="Leve"),CONCATENATE("R9C",'Mapa final'!$O$48),"")</f>
        <v/>
      </c>
      <c r="M24" s="59" t="str">
        <f>IF(AND('Mapa final'!$Y$49="Alta",'Mapa final'!$AA$49="Leve"),CONCATENATE("R9C",'Mapa final'!$O$49),"")</f>
        <v/>
      </c>
      <c r="N24" s="59" t="str">
        <f>IF(AND('Mapa final'!$Y$50="Alta",'Mapa final'!$AA$50="Leve"),CONCATENATE("R9C",'Mapa final'!$O$50),"")</f>
        <v/>
      </c>
      <c r="O24" s="60" t="str">
        <f>IF(AND('Mapa final'!$Y$51="Alta",'Mapa final'!$AA$51="Leve"),CONCATENATE("R9C",'Mapa final'!$O$51),"")</f>
        <v/>
      </c>
      <c r="P24" s="58" t="str">
        <f ca="1">IF(AND('Mapa final'!$Y$46="Alta",'Mapa final'!$AA$46="Menor"),CONCATENATE("R9C",'Mapa final'!$O$46),"")</f>
        <v/>
      </c>
      <c r="Q24" s="59" t="str">
        <f ca="1">IF(AND('Mapa final'!$Y$47="Alta",'Mapa final'!$AA$47="Menor"),CONCATENATE("R9C",'Mapa final'!$O$47),"")</f>
        <v/>
      </c>
      <c r="R24" s="59" t="str">
        <f>IF(AND('Mapa final'!$Y$48="Alta",'Mapa final'!$AA$48="Menor"),CONCATENATE("R9C",'Mapa final'!$O$48),"")</f>
        <v/>
      </c>
      <c r="S24" s="59" t="str">
        <f>IF(AND('Mapa final'!$Y$49="Alta",'Mapa final'!$AA$49="Menor"),CONCATENATE("R9C",'Mapa final'!$O$49),"")</f>
        <v/>
      </c>
      <c r="T24" s="59" t="str">
        <f>IF(AND('Mapa final'!$Y$50="Alta",'Mapa final'!$AA$50="Menor"),CONCATENATE("R9C",'Mapa final'!$O$50),"")</f>
        <v/>
      </c>
      <c r="U24" s="60" t="str">
        <f>IF(AND('Mapa final'!$Y$51="Alta",'Mapa final'!$AA$51="Menor"),CONCATENATE("R9C",'Mapa final'!$O$51),"")</f>
        <v/>
      </c>
      <c r="V24" s="43" t="str">
        <f ca="1">IF(AND('Mapa final'!$Y$46="Alta",'Mapa final'!$AA$46="Moderado"),CONCATENATE("R9C",'Mapa final'!$O$46),"")</f>
        <v/>
      </c>
      <c r="W24" s="44" t="str">
        <f ca="1">IF(AND('Mapa final'!$Y$47="Alta",'Mapa final'!$AA$47="Moderado"),CONCATENATE("R9C",'Mapa final'!$O$47),"")</f>
        <v/>
      </c>
      <c r="X24" s="44" t="str">
        <f>IF(AND('Mapa final'!$Y$48="Alta",'Mapa final'!$AA$48="Moderado"),CONCATENATE("R9C",'Mapa final'!$O$48),"")</f>
        <v/>
      </c>
      <c r="Y24" s="44" t="str">
        <f>IF(AND('Mapa final'!$Y$49="Alta",'Mapa final'!$AA$49="Moderado"),CONCATENATE("R9C",'Mapa final'!$O$49),"")</f>
        <v/>
      </c>
      <c r="Z24" s="44" t="str">
        <f>IF(AND('Mapa final'!$Y$50="Alta",'Mapa final'!$AA$50="Moderado"),CONCATENATE("R9C",'Mapa final'!$O$50),"")</f>
        <v/>
      </c>
      <c r="AA24" s="45" t="str">
        <f>IF(AND('Mapa final'!$Y$51="Alta",'Mapa final'!$AA$51="Moderado"),CONCATENATE("R9C",'Mapa final'!$O$51),"")</f>
        <v/>
      </c>
      <c r="AB24" s="43" t="str">
        <f ca="1">IF(AND('Mapa final'!$Y$46="Alta",'Mapa final'!$AA$46="Mayor"),CONCATENATE("R9C",'Mapa final'!$O$46),"")</f>
        <v/>
      </c>
      <c r="AC24" s="44" t="str">
        <f ca="1">IF(AND('Mapa final'!$Y$47="Alta",'Mapa final'!$AA$47="Mayor"),CONCATENATE("R9C",'Mapa final'!$O$47),"")</f>
        <v/>
      </c>
      <c r="AD24" s="44" t="str">
        <f>IF(AND('Mapa final'!$Y$48="Alta",'Mapa final'!$AA$48="Mayor"),CONCATENATE("R9C",'Mapa final'!$O$48),"")</f>
        <v/>
      </c>
      <c r="AE24" s="44" t="str">
        <f>IF(AND('Mapa final'!$Y$49="Alta",'Mapa final'!$AA$49="Mayor"),CONCATENATE("R9C",'Mapa final'!$O$49),"")</f>
        <v/>
      </c>
      <c r="AF24" s="44" t="str">
        <f>IF(AND('Mapa final'!$Y$50="Alta",'Mapa final'!$AA$50="Mayor"),CONCATENATE("R9C",'Mapa final'!$O$50),"")</f>
        <v/>
      </c>
      <c r="AG24" s="45" t="str">
        <f>IF(AND('Mapa final'!$Y$51="Alta",'Mapa final'!$AA$51="Mayor"),CONCATENATE("R9C",'Mapa final'!$O$51),"")</f>
        <v/>
      </c>
      <c r="AH24" s="46" t="str">
        <f ca="1">IF(AND('Mapa final'!$Y$46="Alta",'Mapa final'!$AA$46="Catastrófico"),CONCATENATE("R9C",'Mapa final'!$O$46),"")</f>
        <v/>
      </c>
      <c r="AI24" s="47" t="str">
        <f ca="1">IF(AND('Mapa final'!$Y$47="Alta",'Mapa final'!$AA$47="Catastrófico"),CONCATENATE("R9C",'Mapa final'!$O$47),"")</f>
        <v/>
      </c>
      <c r="AJ24" s="47" t="str">
        <f>IF(AND('Mapa final'!$Y$48="Alta",'Mapa final'!$AA$48="Catastrófico"),CONCATENATE("R9C",'Mapa final'!$O$48),"")</f>
        <v/>
      </c>
      <c r="AK24" s="47" t="str">
        <f>IF(AND('Mapa final'!$Y$49="Alta",'Mapa final'!$AA$49="Catastrófico"),CONCATENATE("R9C",'Mapa final'!$O$49),"")</f>
        <v/>
      </c>
      <c r="AL24" s="47" t="str">
        <f>IF(AND('Mapa final'!$Y$50="Alta",'Mapa final'!$AA$50="Catastrófico"),CONCATENATE("R9C",'Mapa final'!$O$50),"")</f>
        <v/>
      </c>
      <c r="AM24" s="48" t="str">
        <f>IF(AND('Mapa final'!$Y$51="Alta",'Mapa final'!$AA$51="Catastrófico"),CONCATENATE("R9C",'Mapa final'!$O$51),"")</f>
        <v/>
      </c>
      <c r="AN24" s="74"/>
      <c r="AO24" s="326"/>
      <c r="AP24" s="327"/>
      <c r="AQ24" s="327"/>
      <c r="AR24" s="327"/>
      <c r="AS24" s="327"/>
      <c r="AT24" s="328"/>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row>
    <row r="25" spans="1:76" ht="15.75" customHeight="1" thickBot="1" x14ac:dyDescent="0.3">
      <c r="A25" s="74"/>
      <c r="B25" s="237"/>
      <c r="C25" s="237"/>
      <c r="D25" s="238"/>
      <c r="E25" s="337"/>
      <c r="F25" s="338"/>
      <c r="G25" s="338"/>
      <c r="H25" s="338"/>
      <c r="I25" s="338"/>
      <c r="J25" s="61" t="str">
        <f>IF(AND('Mapa final'!$Y$52="Alta",'Mapa final'!$AA$52="Leve"),CONCATENATE("R10C",'Mapa final'!$O$52),"")</f>
        <v/>
      </c>
      <c r="K25" s="62" t="str">
        <f>IF(AND('Mapa final'!$Y$53="Alta",'Mapa final'!$AA$53="Leve"),CONCATENATE("R10C",'Mapa final'!$O$53),"")</f>
        <v/>
      </c>
      <c r="L25" s="62" t="str">
        <f>IF(AND('Mapa final'!$Y$54="Alta",'Mapa final'!$AA$54="Leve"),CONCATENATE("R10C",'Mapa final'!$O$54),"")</f>
        <v/>
      </c>
      <c r="M25" s="62" t="str">
        <f>IF(AND('Mapa final'!$Y$55="Alta",'Mapa final'!$AA$55="Leve"),CONCATENATE("R10C",'Mapa final'!$O$55),"")</f>
        <v/>
      </c>
      <c r="N25" s="62" t="str">
        <f>IF(AND('Mapa final'!$Y$56="Alta",'Mapa final'!$AA$56="Leve"),CONCATENATE("R10C",'Mapa final'!$O$56),"")</f>
        <v/>
      </c>
      <c r="O25" s="63" t="str">
        <f>IF(AND('Mapa final'!$Y$57="Alta",'Mapa final'!$AA$57="Leve"),CONCATENATE("R10C",'Mapa final'!$O$57),"")</f>
        <v/>
      </c>
      <c r="P25" s="61" t="str">
        <f>IF(AND('Mapa final'!$Y$52="Alta",'Mapa final'!$AA$52="Menor"),CONCATENATE("R10C",'Mapa final'!$O$52),"")</f>
        <v/>
      </c>
      <c r="Q25" s="62" t="str">
        <f>IF(AND('Mapa final'!$Y$53="Alta",'Mapa final'!$AA$53="Menor"),CONCATENATE("R10C",'Mapa final'!$O$53),"")</f>
        <v/>
      </c>
      <c r="R25" s="62" t="str">
        <f>IF(AND('Mapa final'!$Y$54="Alta",'Mapa final'!$AA$54="Menor"),CONCATENATE("R10C",'Mapa final'!$O$54),"")</f>
        <v/>
      </c>
      <c r="S25" s="62" t="str">
        <f>IF(AND('Mapa final'!$Y$55="Alta",'Mapa final'!$AA$55="Menor"),CONCATENATE("R10C",'Mapa final'!$O$55),"")</f>
        <v/>
      </c>
      <c r="T25" s="62" t="str">
        <f>IF(AND('Mapa final'!$Y$56="Alta",'Mapa final'!$AA$56="Menor"),CONCATENATE("R10C",'Mapa final'!$O$56),"")</f>
        <v/>
      </c>
      <c r="U25" s="63" t="str">
        <f>IF(AND('Mapa final'!$Y$57="Alta",'Mapa final'!$AA$57="Menor"),CONCATENATE("R10C",'Mapa final'!$O$57),"")</f>
        <v/>
      </c>
      <c r="V25" s="49" t="str">
        <f>IF(AND('Mapa final'!$Y$52="Alta",'Mapa final'!$AA$52="Moderado"),CONCATENATE("R10C",'Mapa final'!$O$52),"")</f>
        <v/>
      </c>
      <c r="W25" s="50" t="str">
        <f>IF(AND('Mapa final'!$Y$53="Alta",'Mapa final'!$AA$53="Moderado"),CONCATENATE("R10C",'Mapa final'!$O$53),"")</f>
        <v/>
      </c>
      <c r="X25" s="50" t="str">
        <f>IF(AND('Mapa final'!$Y$54="Alta",'Mapa final'!$AA$54="Moderado"),CONCATENATE("R10C",'Mapa final'!$O$54),"")</f>
        <v/>
      </c>
      <c r="Y25" s="50" t="str">
        <f>IF(AND('Mapa final'!$Y$55="Alta",'Mapa final'!$AA$55="Moderado"),CONCATENATE("R10C",'Mapa final'!$O$55),"")</f>
        <v/>
      </c>
      <c r="Z25" s="50" t="str">
        <f>IF(AND('Mapa final'!$Y$56="Alta",'Mapa final'!$AA$56="Moderado"),CONCATENATE("R10C",'Mapa final'!$O$56),"")</f>
        <v/>
      </c>
      <c r="AA25" s="51" t="str">
        <f>IF(AND('Mapa final'!$Y$57="Alta",'Mapa final'!$AA$57="Moderado"),CONCATENATE("R10C",'Mapa final'!$O$57),"")</f>
        <v/>
      </c>
      <c r="AB25" s="49" t="str">
        <f>IF(AND('Mapa final'!$Y$52="Alta",'Mapa final'!$AA$52="Mayor"),CONCATENATE("R10C",'Mapa final'!$O$52),"")</f>
        <v/>
      </c>
      <c r="AC25" s="50" t="str">
        <f>IF(AND('Mapa final'!$Y$53="Alta",'Mapa final'!$AA$53="Mayor"),CONCATENATE("R10C",'Mapa final'!$O$53),"")</f>
        <v/>
      </c>
      <c r="AD25" s="50" t="str">
        <f>IF(AND('Mapa final'!$Y$54="Alta",'Mapa final'!$AA$54="Mayor"),CONCATENATE("R10C",'Mapa final'!$O$54),"")</f>
        <v/>
      </c>
      <c r="AE25" s="50" t="str">
        <f>IF(AND('Mapa final'!$Y$55="Alta",'Mapa final'!$AA$55="Mayor"),CONCATENATE("R10C",'Mapa final'!$O$55),"")</f>
        <v/>
      </c>
      <c r="AF25" s="50" t="str">
        <f>IF(AND('Mapa final'!$Y$56="Alta",'Mapa final'!$AA$56="Mayor"),CONCATENATE("R10C",'Mapa final'!$O$56),"")</f>
        <v/>
      </c>
      <c r="AG25" s="51" t="str">
        <f>IF(AND('Mapa final'!$Y$57="Alta",'Mapa final'!$AA$57="Mayor"),CONCATENATE("R10C",'Mapa final'!$O$57),"")</f>
        <v/>
      </c>
      <c r="AH25" s="52" t="str">
        <f>IF(AND('Mapa final'!$Y$52="Alta",'Mapa final'!$AA$52="Catastrófico"),CONCATENATE("R10C",'Mapa final'!$O$52),"")</f>
        <v/>
      </c>
      <c r="AI25" s="53" t="str">
        <f>IF(AND('Mapa final'!$Y$53="Alta",'Mapa final'!$AA$53="Catastrófico"),CONCATENATE("R10C",'Mapa final'!$O$53),"")</f>
        <v/>
      </c>
      <c r="AJ25" s="53" t="str">
        <f>IF(AND('Mapa final'!$Y$54="Alta",'Mapa final'!$AA$54="Catastrófico"),CONCATENATE("R10C",'Mapa final'!$O$54),"")</f>
        <v/>
      </c>
      <c r="AK25" s="53" t="str">
        <f>IF(AND('Mapa final'!$Y$55="Alta",'Mapa final'!$AA$55="Catastrófico"),CONCATENATE("R10C",'Mapa final'!$O$55),"")</f>
        <v/>
      </c>
      <c r="AL25" s="53" t="str">
        <f>IF(AND('Mapa final'!$Y$56="Alta",'Mapa final'!$AA$56="Catastrófico"),CONCATENATE("R10C",'Mapa final'!$O$56),"")</f>
        <v/>
      </c>
      <c r="AM25" s="54" t="str">
        <f>IF(AND('Mapa final'!$Y$57="Alta",'Mapa final'!$AA$57="Catastrófico"),CONCATENATE("R10C",'Mapa final'!$O$57),"")</f>
        <v/>
      </c>
      <c r="AN25" s="74"/>
      <c r="AO25" s="329"/>
      <c r="AP25" s="330"/>
      <c r="AQ25" s="330"/>
      <c r="AR25" s="330"/>
      <c r="AS25" s="330"/>
      <c r="AT25" s="331"/>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row>
    <row r="26" spans="1:76" ht="15" customHeight="1" x14ac:dyDescent="0.25">
      <c r="A26" s="74"/>
      <c r="B26" s="237"/>
      <c r="C26" s="237"/>
      <c r="D26" s="238"/>
      <c r="E26" s="332" t="s">
        <v>115</v>
      </c>
      <c r="F26" s="333"/>
      <c r="G26" s="333"/>
      <c r="H26" s="333"/>
      <c r="I26" s="350"/>
      <c r="J26" s="55" t="e">
        <f>IF(AND('Mapa final'!#REF!="Media",'Mapa final'!#REF!="Leve"),CONCATENATE("R1C",'Mapa final'!#REF!),"")</f>
        <v>#REF!</v>
      </c>
      <c r="K26" s="56" t="e">
        <f>IF(AND('Mapa final'!#REF!="Media",'Mapa final'!#REF!="Leve"),CONCATENATE("R1C",'Mapa final'!#REF!),"")</f>
        <v>#REF!</v>
      </c>
      <c r="L26" s="56" t="e">
        <f>IF(AND('Mapa final'!#REF!="Media",'Mapa final'!#REF!="Leve"),CONCATENATE("R1C",'Mapa final'!#REF!),"")</f>
        <v>#REF!</v>
      </c>
      <c r="M26" s="56" t="e">
        <f>IF(AND('Mapa final'!#REF!="Media",'Mapa final'!#REF!="Leve"),CONCATENATE("R1C",'Mapa final'!#REF!),"")</f>
        <v>#REF!</v>
      </c>
      <c r="N26" s="56" t="e">
        <f>IF(AND('Mapa final'!#REF!="Media",'Mapa final'!#REF!="Leve"),CONCATENATE("R1C",'Mapa final'!#REF!),"")</f>
        <v>#REF!</v>
      </c>
      <c r="O26" s="57" t="e">
        <f>IF(AND('Mapa final'!#REF!="Media",'Mapa final'!#REF!="Leve"),CONCATENATE("R1C",'Mapa final'!#REF!),"")</f>
        <v>#REF!</v>
      </c>
      <c r="P26" s="55" t="e">
        <f>IF(AND('Mapa final'!#REF!="Media",'Mapa final'!#REF!="Menor"),CONCATENATE("R1C",'Mapa final'!#REF!),"")</f>
        <v>#REF!</v>
      </c>
      <c r="Q26" s="56" t="e">
        <f>IF(AND('Mapa final'!#REF!="Media",'Mapa final'!#REF!="Menor"),CONCATENATE("R1C",'Mapa final'!#REF!),"")</f>
        <v>#REF!</v>
      </c>
      <c r="R26" s="56" t="e">
        <f>IF(AND('Mapa final'!#REF!="Media",'Mapa final'!#REF!="Menor"),CONCATENATE("R1C",'Mapa final'!#REF!),"")</f>
        <v>#REF!</v>
      </c>
      <c r="S26" s="56" t="e">
        <f>IF(AND('Mapa final'!#REF!="Media",'Mapa final'!#REF!="Menor"),CONCATENATE("R1C",'Mapa final'!#REF!),"")</f>
        <v>#REF!</v>
      </c>
      <c r="T26" s="56" t="e">
        <f>IF(AND('Mapa final'!#REF!="Media",'Mapa final'!#REF!="Menor"),CONCATENATE("R1C",'Mapa final'!#REF!),"")</f>
        <v>#REF!</v>
      </c>
      <c r="U26" s="57" t="e">
        <f>IF(AND('Mapa final'!#REF!="Media",'Mapa final'!#REF!="Menor"),CONCATENATE("R1C",'Mapa final'!#REF!),"")</f>
        <v>#REF!</v>
      </c>
      <c r="V26" s="55" t="e">
        <f>IF(AND('Mapa final'!#REF!="Media",'Mapa final'!#REF!="Moderado"),CONCATENATE("R1C",'Mapa final'!#REF!),"")</f>
        <v>#REF!</v>
      </c>
      <c r="W26" s="56" t="e">
        <f>IF(AND('Mapa final'!#REF!="Media",'Mapa final'!#REF!="Moderado"),CONCATENATE("R1C",'Mapa final'!#REF!),"")</f>
        <v>#REF!</v>
      </c>
      <c r="X26" s="56" t="e">
        <f>IF(AND('Mapa final'!#REF!="Media",'Mapa final'!#REF!="Moderado"),CONCATENATE("R1C",'Mapa final'!#REF!),"")</f>
        <v>#REF!</v>
      </c>
      <c r="Y26" s="56" t="e">
        <f>IF(AND('Mapa final'!#REF!="Media",'Mapa final'!#REF!="Moderado"),CONCATENATE("R1C",'Mapa final'!#REF!),"")</f>
        <v>#REF!</v>
      </c>
      <c r="Z26" s="56" t="e">
        <f>IF(AND('Mapa final'!#REF!="Media",'Mapa final'!#REF!="Moderado"),CONCATENATE("R1C",'Mapa final'!#REF!),"")</f>
        <v>#REF!</v>
      </c>
      <c r="AA26" s="57" t="e">
        <f>IF(AND('Mapa final'!#REF!="Media",'Mapa final'!#REF!="Moderado"),CONCATENATE("R1C",'Mapa final'!#REF!),"")</f>
        <v>#REF!</v>
      </c>
      <c r="AB26" s="37" t="e">
        <f>IF(AND('Mapa final'!#REF!="Media",'Mapa final'!#REF!="Mayor"),CONCATENATE("R1C",'Mapa final'!#REF!),"")</f>
        <v>#REF!</v>
      </c>
      <c r="AC26" s="38" t="e">
        <f>IF(AND('Mapa final'!#REF!="Media",'Mapa final'!#REF!="Mayor"),CONCATENATE("R1C",'Mapa final'!#REF!),"")</f>
        <v>#REF!</v>
      </c>
      <c r="AD26" s="38" t="e">
        <f>IF(AND('Mapa final'!#REF!="Media",'Mapa final'!#REF!="Mayor"),CONCATENATE("R1C",'Mapa final'!#REF!),"")</f>
        <v>#REF!</v>
      </c>
      <c r="AE26" s="38" t="e">
        <f>IF(AND('Mapa final'!#REF!="Media",'Mapa final'!#REF!="Mayor"),CONCATENATE("R1C",'Mapa final'!#REF!),"")</f>
        <v>#REF!</v>
      </c>
      <c r="AF26" s="38" t="e">
        <f>IF(AND('Mapa final'!#REF!="Media",'Mapa final'!#REF!="Mayor"),CONCATENATE("R1C",'Mapa final'!#REF!),"")</f>
        <v>#REF!</v>
      </c>
      <c r="AG26" s="39" t="e">
        <f>IF(AND('Mapa final'!#REF!="Media",'Mapa final'!#REF!="Mayor"),CONCATENATE("R1C",'Mapa final'!#REF!),"")</f>
        <v>#REF!</v>
      </c>
      <c r="AH26" s="40" t="e">
        <f>IF(AND('Mapa final'!#REF!="Media",'Mapa final'!#REF!="Catastrófico"),CONCATENATE("R1C",'Mapa final'!#REF!),"")</f>
        <v>#REF!</v>
      </c>
      <c r="AI26" s="41" t="e">
        <f>IF(AND('Mapa final'!#REF!="Media",'Mapa final'!#REF!="Catastrófico"),CONCATENATE("R1C",'Mapa final'!#REF!),"")</f>
        <v>#REF!</v>
      </c>
      <c r="AJ26" s="41" t="e">
        <f>IF(AND('Mapa final'!#REF!="Media",'Mapa final'!#REF!="Catastrófico"),CONCATENATE("R1C",'Mapa final'!#REF!),"")</f>
        <v>#REF!</v>
      </c>
      <c r="AK26" s="41" t="e">
        <f>IF(AND('Mapa final'!#REF!="Media",'Mapa final'!#REF!="Catastrófico"),CONCATENATE("R1C",'Mapa final'!#REF!),"")</f>
        <v>#REF!</v>
      </c>
      <c r="AL26" s="41" t="e">
        <f>IF(AND('Mapa final'!#REF!="Media",'Mapa final'!#REF!="Catastrófico"),CONCATENATE("R1C",'Mapa final'!#REF!),"")</f>
        <v>#REF!</v>
      </c>
      <c r="AM26" s="42" t="e">
        <f>IF(AND('Mapa final'!#REF!="Media",'Mapa final'!#REF!="Catastrófico"),CONCATENATE("R1C",'Mapa final'!#REF!),"")</f>
        <v>#REF!</v>
      </c>
      <c r="AN26" s="74"/>
      <c r="AO26" s="362" t="s">
        <v>81</v>
      </c>
      <c r="AP26" s="363"/>
      <c r="AQ26" s="363"/>
      <c r="AR26" s="363"/>
      <c r="AS26" s="363"/>
      <c r="AT26" s="36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row>
    <row r="27" spans="1:76" ht="15" customHeight="1" x14ac:dyDescent="0.25">
      <c r="A27" s="74"/>
      <c r="B27" s="237"/>
      <c r="C27" s="237"/>
      <c r="D27" s="238"/>
      <c r="E27" s="334"/>
      <c r="F27" s="335"/>
      <c r="G27" s="335"/>
      <c r="H27" s="335"/>
      <c r="I27" s="351"/>
      <c r="J27" s="58" t="e">
        <f>IF(AND('Mapa final'!#REF!="Media",'Mapa final'!#REF!="Leve"),CONCATENATE("R2C",'Mapa final'!#REF!),"")</f>
        <v>#REF!</v>
      </c>
      <c r="K27" s="59" t="e">
        <f>IF(AND('Mapa final'!#REF!="Media",'Mapa final'!#REF!="Leve"),CONCATENATE("R2C",'Mapa final'!#REF!),"")</f>
        <v>#REF!</v>
      </c>
      <c r="L27" s="59" t="e">
        <f>IF(AND('Mapa final'!#REF!="Media",'Mapa final'!#REF!="Leve"),CONCATENATE("R2C",'Mapa final'!#REF!),"")</f>
        <v>#REF!</v>
      </c>
      <c r="M27" s="59" t="e">
        <f>IF(AND('Mapa final'!#REF!="Media",'Mapa final'!#REF!="Leve"),CONCATENATE("R2C",'Mapa final'!#REF!),"")</f>
        <v>#REF!</v>
      </c>
      <c r="N27" s="59" t="e">
        <f>IF(AND('Mapa final'!#REF!="Media",'Mapa final'!#REF!="Leve"),CONCATENATE("R2C",'Mapa final'!#REF!),"")</f>
        <v>#REF!</v>
      </c>
      <c r="O27" s="60" t="e">
        <f>IF(AND('Mapa final'!#REF!="Media",'Mapa final'!#REF!="Leve"),CONCATENATE("R2C",'Mapa final'!#REF!),"")</f>
        <v>#REF!</v>
      </c>
      <c r="P27" s="58" t="e">
        <f>IF(AND('Mapa final'!#REF!="Media",'Mapa final'!#REF!="Menor"),CONCATENATE("R2C",'Mapa final'!#REF!),"")</f>
        <v>#REF!</v>
      </c>
      <c r="Q27" s="59" t="e">
        <f>IF(AND('Mapa final'!#REF!="Media",'Mapa final'!#REF!="Menor"),CONCATENATE("R2C",'Mapa final'!#REF!),"")</f>
        <v>#REF!</v>
      </c>
      <c r="R27" s="59" t="e">
        <f>IF(AND('Mapa final'!#REF!="Media",'Mapa final'!#REF!="Menor"),CONCATENATE("R2C",'Mapa final'!#REF!),"")</f>
        <v>#REF!</v>
      </c>
      <c r="S27" s="59" t="e">
        <f>IF(AND('Mapa final'!#REF!="Media",'Mapa final'!#REF!="Menor"),CONCATENATE("R2C",'Mapa final'!#REF!),"")</f>
        <v>#REF!</v>
      </c>
      <c r="T27" s="59" t="e">
        <f>IF(AND('Mapa final'!#REF!="Media",'Mapa final'!#REF!="Menor"),CONCATENATE("R2C",'Mapa final'!#REF!),"")</f>
        <v>#REF!</v>
      </c>
      <c r="U27" s="60" t="e">
        <f>IF(AND('Mapa final'!#REF!="Media",'Mapa final'!#REF!="Menor"),CONCATENATE("R2C",'Mapa final'!#REF!),"")</f>
        <v>#REF!</v>
      </c>
      <c r="V27" s="58" t="e">
        <f>IF(AND('Mapa final'!#REF!="Media",'Mapa final'!#REF!="Moderado"),CONCATENATE("R2C",'Mapa final'!#REF!),"")</f>
        <v>#REF!</v>
      </c>
      <c r="W27" s="59" t="e">
        <f>IF(AND('Mapa final'!#REF!="Media",'Mapa final'!#REF!="Moderado"),CONCATENATE("R2C",'Mapa final'!#REF!),"")</f>
        <v>#REF!</v>
      </c>
      <c r="X27" s="59" t="e">
        <f>IF(AND('Mapa final'!#REF!="Media",'Mapa final'!#REF!="Moderado"),CONCATENATE("R2C",'Mapa final'!#REF!),"")</f>
        <v>#REF!</v>
      </c>
      <c r="Y27" s="59" t="e">
        <f>IF(AND('Mapa final'!#REF!="Media",'Mapa final'!#REF!="Moderado"),CONCATENATE("R2C",'Mapa final'!#REF!),"")</f>
        <v>#REF!</v>
      </c>
      <c r="Z27" s="59" t="e">
        <f>IF(AND('Mapa final'!#REF!="Media",'Mapa final'!#REF!="Moderado"),CONCATENATE("R2C",'Mapa final'!#REF!),"")</f>
        <v>#REF!</v>
      </c>
      <c r="AA27" s="60" t="e">
        <f>IF(AND('Mapa final'!#REF!="Media",'Mapa final'!#REF!="Moderado"),CONCATENATE("R2C",'Mapa final'!#REF!),"")</f>
        <v>#REF!</v>
      </c>
      <c r="AB27" s="43" t="e">
        <f>IF(AND('Mapa final'!#REF!="Media",'Mapa final'!#REF!="Mayor"),CONCATENATE("R2C",'Mapa final'!#REF!),"")</f>
        <v>#REF!</v>
      </c>
      <c r="AC27" s="44" t="e">
        <f>IF(AND('Mapa final'!#REF!="Media",'Mapa final'!#REF!="Mayor"),CONCATENATE("R2C",'Mapa final'!#REF!),"")</f>
        <v>#REF!</v>
      </c>
      <c r="AD27" s="44" t="e">
        <f>IF(AND('Mapa final'!#REF!="Media",'Mapa final'!#REF!="Mayor"),CONCATENATE("R2C",'Mapa final'!#REF!),"")</f>
        <v>#REF!</v>
      </c>
      <c r="AE27" s="44" t="e">
        <f>IF(AND('Mapa final'!#REF!="Media",'Mapa final'!#REF!="Mayor"),CONCATENATE("R2C",'Mapa final'!#REF!),"")</f>
        <v>#REF!</v>
      </c>
      <c r="AF27" s="44" t="e">
        <f>IF(AND('Mapa final'!#REF!="Media",'Mapa final'!#REF!="Mayor"),CONCATENATE("R2C",'Mapa final'!#REF!),"")</f>
        <v>#REF!</v>
      </c>
      <c r="AG27" s="45" t="e">
        <f>IF(AND('Mapa final'!#REF!="Media",'Mapa final'!#REF!="Mayor"),CONCATENATE("R2C",'Mapa final'!#REF!),"")</f>
        <v>#REF!</v>
      </c>
      <c r="AH27" s="46" t="e">
        <f>IF(AND('Mapa final'!#REF!="Media",'Mapa final'!#REF!="Catastrófico"),CONCATENATE("R2C",'Mapa final'!#REF!),"")</f>
        <v>#REF!</v>
      </c>
      <c r="AI27" s="47" t="e">
        <f>IF(AND('Mapa final'!#REF!="Media",'Mapa final'!#REF!="Catastrófico"),CONCATENATE("R2C",'Mapa final'!#REF!),"")</f>
        <v>#REF!</v>
      </c>
      <c r="AJ27" s="47" t="e">
        <f>IF(AND('Mapa final'!#REF!="Media",'Mapa final'!#REF!="Catastrófico"),CONCATENATE("R2C",'Mapa final'!#REF!),"")</f>
        <v>#REF!</v>
      </c>
      <c r="AK27" s="47" t="e">
        <f>IF(AND('Mapa final'!#REF!="Media",'Mapa final'!#REF!="Catastrófico"),CONCATENATE("R2C",'Mapa final'!#REF!),"")</f>
        <v>#REF!</v>
      </c>
      <c r="AL27" s="47" t="e">
        <f>IF(AND('Mapa final'!#REF!="Media",'Mapa final'!#REF!="Catastrófico"),CONCATENATE("R2C",'Mapa final'!#REF!),"")</f>
        <v>#REF!</v>
      </c>
      <c r="AM27" s="48" t="e">
        <f>IF(AND('Mapa final'!#REF!="Media",'Mapa final'!#REF!="Catastrófico"),CONCATENATE("R2C",'Mapa final'!#REF!),"")</f>
        <v>#REF!</v>
      </c>
      <c r="AN27" s="74"/>
      <c r="AO27" s="365"/>
      <c r="AP27" s="366"/>
      <c r="AQ27" s="366"/>
      <c r="AR27" s="366"/>
      <c r="AS27" s="366"/>
      <c r="AT27" s="367"/>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row>
    <row r="28" spans="1:76" ht="15" customHeight="1" x14ac:dyDescent="0.25">
      <c r="A28" s="74"/>
      <c r="B28" s="237"/>
      <c r="C28" s="237"/>
      <c r="D28" s="238"/>
      <c r="E28" s="336"/>
      <c r="F28" s="335"/>
      <c r="G28" s="335"/>
      <c r="H28" s="335"/>
      <c r="I28" s="351"/>
      <c r="J28" s="58" t="str">
        <f ca="1">IF(AND('Mapa final'!$Y$10="Media",'Mapa final'!$AA$10="Leve"),CONCATENATE("R3C",'Mapa final'!$O$10),"")</f>
        <v/>
      </c>
      <c r="K28" s="59" t="str">
        <f>IF(AND('Mapa final'!$Y$11="Media",'Mapa final'!$AA$11="Leve"),CONCATENATE("R3C",'Mapa final'!$O$11),"")</f>
        <v/>
      </c>
      <c r="L28" s="59" t="str">
        <f>IF(AND('Mapa final'!$Y$12="Media",'Mapa final'!$AA$12="Leve"),CONCATENATE("R3C",'Mapa final'!$O$12),"")</f>
        <v/>
      </c>
      <c r="M28" s="59" t="str">
        <f>IF(AND('Mapa final'!$Y$13="Media",'Mapa final'!$AA$13="Leve"),CONCATENATE("R3C",'Mapa final'!$O$13),"")</f>
        <v/>
      </c>
      <c r="N28" s="59" t="str">
        <f>IF(AND('Mapa final'!$Y$14="Media",'Mapa final'!$AA$14="Leve"),CONCATENATE("R3C",'Mapa final'!$O$14),"")</f>
        <v/>
      </c>
      <c r="O28" s="60" t="str">
        <f>IF(AND('Mapa final'!$Y$15="Media",'Mapa final'!$AA$15="Leve"),CONCATENATE("R3C",'Mapa final'!$O$15),"")</f>
        <v/>
      </c>
      <c r="P28" s="58" t="str">
        <f ca="1">IF(AND('Mapa final'!$Y$10="Media",'Mapa final'!$AA$10="Menor"),CONCATENATE("R3C",'Mapa final'!$O$10),"")</f>
        <v>R3C1</v>
      </c>
      <c r="Q28" s="59" t="str">
        <f>IF(AND('Mapa final'!$Y$11="Media",'Mapa final'!$AA$11="Menor"),CONCATENATE("R3C",'Mapa final'!$O$11),"")</f>
        <v/>
      </c>
      <c r="R28" s="59" t="str">
        <f>IF(AND('Mapa final'!$Y$12="Media",'Mapa final'!$AA$12="Menor"),CONCATENATE("R3C",'Mapa final'!$O$12),"")</f>
        <v/>
      </c>
      <c r="S28" s="59" t="str">
        <f>IF(AND('Mapa final'!$Y$13="Media",'Mapa final'!$AA$13="Menor"),CONCATENATE("R3C",'Mapa final'!$O$13),"")</f>
        <v/>
      </c>
      <c r="T28" s="59" t="str">
        <f>IF(AND('Mapa final'!$Y$14="Media",'Mapa final'!$AA$14="Menor"),CONCATENATE("R3C",'Mapa final'!$O$14),"")</f>
        <v/>
      </c>
      <c r="U28" s="60" t="str">
        <f>IF(AND('Mapa final'!$Y$15="Media",'Mapa final'!$AA$15="Menor"),CONCATENATE("R3C",'Mapa final'!$O$15),"")</f>
        <v/>
      </c>
      <c r="V28" s="58" t="str">
        <f ca="1">IF(AND('Mapa final'!$Y$10="Media",'Mapa final'!$AA$10="Moderado"),CONCATENATE("R3C",'Mapa final'!$O$10),"")</f>
        <v/>
      </c>
      <c r="W28" s="59" t="str">
        <f>IF(AND('Mapa final'!$Y$11="Media",'Mapa final'!$AA$11="Moderado"),CONCATENATE("R3C",'Mapa final'!$O$11),"")</f>
        <v/>
      </c>
      <c r="X28" s="59" t="str">
        <f>IF(AND('Mapa final'!$Y$12="Media",'Mapa final'!$AA$12="Moderado"),CONCATENATE("R3C",'Mapa final'!$O$12),"")</f>
        <v/>
      </c>
      <c r="Y28" s="59" t="str">
        <f>IF(AND('Mapa final'!$Y$13="Media",'Mapa final'!$AA$13="Moderado"),CONCATENATE("R3C",'Mapa final'!$O$13),"")</f>
        <v/>
      </c>
      <c r="Z28" s="59" t="str">
        <f>IF(AND('Mapa final'!$Y$14="Media",'Mapa final'!$AA$14="Moderado"),CONCATENATE("R3C",'Mapa final'!$O$14),"")</f>
        <v/>
      </c>
      <c r="AA28" s="60" t="str">
        <f>IF(AND('Mapa final'!$Y$15="Media",'Mapa final'!$AA$15="Moderado"),CONCATENATE("R3C",'Mapa final'!$O$15),"")</f>
        <v/>
      </c>
      <c r="AB28" s="43" t="str">
        <f ca="1">IF(AND('Mapa final'!$Y$10="Media",'Mapa final'!$AA$10="Mayor"),CONCATENATE("R3C",'Mapa final'!$O$10),"")</f>
        <v/>
      </c>
      <c r="AC28" s="44" t="str">
        <f>IF(AND('Mapa final'!$Y$11="Media",'Mapa final'!$AA$11="Mayor"),CONCATENATE("R3C",'Mapa final'!$O$11),"")</f>
        <v/>
      </c>
      <c r="AD28" s="44" t="str">
        <f>IF(AND('Mapa final'!$Y$12="Media",'Mapa final'!$AA$12="Mayor"),CONCATENATE("R3C",'Mapa final'!$O$12),"")</f>
        <v/>
      </c>
      <c r="AE28" s="44" t="str">
        <f>IF(AND('Mapa final'!$Y$13="Media",'Mapa final'!$AA$13="Mayor"),CONCATENATE("R3C",'Mapa final'!$O$13),"")</f>
        <v/>
      </c>
      <c r="AF28" s="44" t="str">
        <f>IF(AND('Mapa final'!$Y$14="Media",'Mapa final'!$AA$14="Mayor"),CONCATENATE("R3C",'Mapa final'!$O$14),"")</f>
        <v/>
      </c>
      <c r="AG28" s="45" t="str">
        <f>IF(AND('Mapa final'!$Y$15="Media",'Mapa final'!$AA$15="Mayor"),CONCATENATE("R3C",'Mapa final'!$O$15),"")</f>
        <v/>
      </c>
      <c r="AH28" s="46" t="str">
        <f ca="1">IF(AND('Mapa final'!$Y$10="Media",'Mapa final'!$AA$10="Catastrófico"),CONCATENATE("R3C",'Mapa final'!$O$10),"")</f>
        <v/>
      </c>
      <c r="AI28" s="47" t="str">
        <f>IF(AND('Mapa final'!$Y$11="Media",'Mapa final'!$AA$11="Catastrófico"),CONCATENATE("R3C",'Mapa final'!$O$11),"")</f>
        <v/>
      </c>
      <c r="AJ28" s="47" t="str">
        <f>IF(AND('Mapa final'!$Y$12="Media",'Mapa final'!$AA$12="Catastrófico"),CONCATENATE("R3C",'Mapa final'!$O$12),"")</f>
        <v/>
      </c>
      <c r="AK28" s="47" t="str">
        <f>IF(AND('Mapa final'!$Y$13="Media",'Mapa final'!$AA$13="Catastrófico"),CONCATENATE("R3C",'Mapa final'!$O$13),"")</f>
        <v/>
      </c>
      <c r="AL28" s="47" t="str">
        <f>IF(AND('Mapa final'!$Y$14="Media",'Mapa final'!$AA$14="Catastrófico"),CONCATENATE("R3C",'Mapa final'!$O$14),"")</f>
        <v/>
      </c>
      <c r="AM28" s="48" t="str">
        <f>IF(AND('Mapa final'!$Y$15="Media",'Mapa final'!$AA$15="Catastrófico"),CONCATENATE("R3C",'Mapa final'!$O$15),"")</f>
        <v/>
      </c>
      <c r="AN28" s="74"/>
      <c r="AO28" s="365"/>
      <c r="AP28" s="366"/>
      <c r="AQ28" s="366"/>
      <c r="AR28" s="366"/>
      <c r="AS28" s="366"/>
      <c r="AT28" s="367"/>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row>
    <row r="29" spans="1:76" ht="15" customHeight="1" x14ac:dyDescent="0.25">
      <c r="A29" s="74"/>
      <c r="B29" s="237"/>
      <c r="C29" s="237"/>
      <c r="D29" s="238"/>
      <c r="E29" s="336"/>
      <c r="F29" s="335"/>
      <c r="G29" s="335"/>
      <c r="H29" s="335"/>
      <c r="I29" s="351"/>
      <c r="J29" s="58" t="e">
        <f>IF(AND('Mapa final'!#REF!="Media",'Mapa final'!#REF!="Leve"),CONCATENATE("R4C",'Mapa final'!#REF!),"")</f>
        <v>#REF!</v>
      </c>
      <c r="K29" s="59" t="e">
        <f>IF(AND('Mapa final'!#REF!="Media",'Mapa final'!#REF!="Leve"),CONCATENATE("R4C",'Mapa final'!#REF!),"")</f>
        <v>#REF!</v>
      </c>
      <c r="L29" s="59" t="e">
        <f>IF(AND('Mapa final'!#REF!="Media",'Mapa final'!#REF!="Leve"),CONCATENATE("R4C",'Mapa final'!#REF!),"")</f>
        <v>#REF!</v>
      </c>
      <c r="M29" s="59" t="e">
        <f>IF(AND('Mapa final'!#REF!="Media",'Mapa final'!#REF!="Leve"),CONCATENATE("R4C",'Mapa final'!#REF!),"")</f>
        <v>#REF!</v>
      </c>
      <c r="N29" s="59" t="e">
        <f>IF(AND('Mapa final'!#REF!="Media",'Mapa final'!#REF!="Leve"),CONCATENATE("R4C",'Mapa final'!#REF!),"")</f>
        <v>#REF!</v>
      </c>
      <c r="O29" s="60" t="e">
        <f>IF(AND('Mapa final'!#REF!="Media",'Mapa final'!#REF!="Leve"),CONCATENATE("R4C",'Mapa final'!#REF!),"")</f>
        <v>#REF!</v>
      </c>
      <c r="P29" s="58" t="e">
        <f>IF(AND('Mapa final'!#REF!="Media",'Mapa final'!#REF!="Menor"),CONCATENATE("R4C",'Mapa final'!#REF!),"")</f>
        <v>#REF!</v>
      </c>
      <c r="Q29" s="59" t="e">
        <f>IF(AND('Mapa final'!#REF!="Media",'Mapa final'!#REF!="Menor"),CONCATENATE("R4C",'Mapa final'!#REF!),"")</f>
        <v>#REF!</v>
      </c>
      <c r="R29" s="59" t="e">
        <f>IF(AND('Mapa final'!#REF!="Media",'Mapa final'!#REF!="Menor"),CONCATENATE("R4C",'Mapa final'!#REF!),"")</f>
        <v>#REF!</v>
      </c>
      <c r="S29" s="59" t="e">
        <f>IF(AND('Mapa final'!#REF!="Media",'Mapa final'!#REF!="Menor"),CONCATENATE("R4C",'Mapa final'!#REF!),"")</f>
        <v>#REF!</v>
      </c>
      <c r="T29" s="59" t="e">
        <f>IF(AND('Mapa final'!#REF!="Media",'Mapa final'!#REF!="Menor"),CONCATENATE("R4C",'Mapa final'!#REF!),"")</f>
        <v>#REF!</v>
      </c>
      <c r="U29" s="60" t="e">
        <f>IF(AND('Mapa final'!#REF!="Media",'Mapa final'!#REF!="Menor"),CONCATENATE("R4C",'Mapa final'!#REF!),"")</f>
        <v>#REF!</v>
      </c>
      <c r="V29" s="58" t="e">
        <f>IF(AND('Mapa final'!#REF!="Media",'Mapa final'!#REF!="Moderado"),CONCATENATE("R4C",'Mapa final'!#REF!),"")</f>
        <v>#REF!</v>
      </c>
      <c r="W29" s="59" t="e">
        <f>IF(AND('Mapa final'!#REF!="Media",'Mapa final'!#REF!="Moderado"),CONCATENATE("R4C",'Mapa final'!#REF!),"")</f>
        <v>#REF!</v>
      </c>
      <c r="X29" s="59" t="e">
        <f>IF(AND('Mapa final'!#REF!="Media",'Mapa final'!#REF!="Moderado"),CONCATENATE("R4C",'Mapa final'!#REF!),"")</f>
        <v>#REF!</v>
      </c>
      <c r="Y29" s="59" t="e">
        <f>IF(AND('Mapa final'!#REF!="Media",'Mapa final'!#REF!="Moderado"),CONCATENATE("R4C",'Mapa final'!#REF!),"")</f>
        <v>#REF!</v>
      </c>
      <c r="Z29" s="59" t="e">
        <f>IF(AND('Mapa final'!#REF!="Media",'Mapa final'!#REF!="Moderado"),CONCATENATE("R4C",'Mapa final'!#REF!),"")</f>
        <v>#REF!</v>
      </c>
      <c r="AA29" s="60" t="e">
        <f>IF(AND('Mapa final'!#REF!="Media",'Mapa final'!#REF!="Moderado"),CONCATENATE("R4C",'Mapa final'!#REF!),"")</f>
        <v>#REF!</v>
      </c>
      <c r="AB29" s="43" t="e">
        <f>IF(AND('Mapa final'!#REF!="Media",'Mapa final'!#REF!="Mayor"),CONCATENATE("R4C",'Mapa final'!#REF!),"")</f>
        <v>#REF!</v>
      </c>
      <c r="AC29" s="44" t="e">
        <f>IF(AND('Mapa final'!#REF!="Media",'Mapa final'!#REF!="Mayor"),CONCATENATE("R4C",'Mapa final'!#REF!),"")</f>
        <v>#REF!</v>
      </c>
      <c r="AD29" s="44" t="e">
        <f>IF(AND('Mapa final'!#REF!="Media",'Mapa final'!#REF!="Mayor"),CONCATENATE("R4C",'Mapa final'!#REF!),"")</f>
        <v>#REF!</v>
      </c>
      <c r="AE29" s="44" t="e">
        <f>IF(AND('Mapa final'!#REF!="Media",'Mapa final'!#REF!="Mayor"),CONCATENATE("R4C",'Mapa final'!#REF!),"")</f>
        <v>#REF!</v>
      </c>
      <c r="AF29" s="44" t="e">
        <f>IF(AND('Mapa final'!#REF!="Media",'Mapa final'!#REF!="Mayor"),CONCATENATE("R4C",'Mapa final'!#REF!),"")</f>
        <v>#REF!</v>
      </c>
      <c r="AG29" s="45" t="e">
        <f>IF(AND('Mapa final'!#REF!="Media",'Mapa final'!#REF!="Mayor"),CONCATENATE("R4C",'Mapa final'!#REF!),"")</f>
        <v>#REF!</v>
      </c>
      <c r="AH29" s="46" t="e">
        <f>IF(AND('Mapa final'!#REF!="Media",'Mapa final'!#REF!="Catastrófico"),CONCATENATE("R4C",'Mapa final'!#REF!),"")</f>
        <v>#REF!</v>
      </c>
      <c r="AI29" s="47" t="e">
        <f>IF(AND('Mapa final'!#REF!="Media",'Mapa final'!#REF!="Catastrófico"),CONCATENATE("R4C",'Mapa final'!#REF!),"")</f>
        <v>#REF!</v>
      </c>
      <c r="AJ29" s="47" t="e">
        <f>IF(AND('Mapa final'!#REF!="Media",'Mapa final'!#REF!="Catastrófico"),CONCATENATE("R4C",'Mapa final'!#REF!),"")</f>
        <v>#REF!</v>
      </c>
      <c r="AK29" s="47" t="e">
        <f>IF(AND('Mapa final'!#REF!="Media",'Mapa final'!#REF!="Catastrófico"),CONCATENATE("R4C",'Mapa final'!#REF!),"")</f>
        <v>#REF!</v>
      </c>
      <c r="AL29" s="47" t="e">
        <f>IF(AND('Mapa final'!#REF!="Media",'Mapa final'!#REF!="Catastrófico"),CONCATENATE("R4C",'Mapa final'!#REF!),"")</f>
        <v>#REF!</v>
      </c>
      <c r="AM29" s="48" t="e">
        <f>IF(AND('Mapa final'!#REF!="Media",'Mapa final'!#REF!="Catastrófico"),CONCATENATE("R4C",'Mapa final'!#REF!),"")</f>
        <v>#REF!</v>
      </c>
      <c r="AN29" s="74"/>
      <c r="AO29" s="365"/>
      <c r="AP29" s="366"/>
      <c r="AQ29" s="366"/>
      <c r="AR29" s="366"/>
      <c r="AS29" s="366"/>
      <c r="AT29" s="367"/>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row>
    <row r="30" spans="1:76" ht="15" customHeight="1" x14ac:dyDescent="0.25">
      <c r="A30" s="74"/>
      <c r="B30" s="237"/>
      <c r="C30" s="237"/>
      <c r="D30" s="238"/>
      <c r="E30" s="336"/>
      <c r="F30" s="335"/>
      <c r="G30" s="335"/>
      <c r="H30" s="335"/>
      <c r="I30" s="351"/>
      <c r="J30" s="58" t="str">
        <f ca="1">IF(AND('Mapa final'!$Y$16="Media",'Mapa final'!$AA$16="Leve"),CONCATENATE("R5C",'Mapa final'!$O$16),"")</f>
        <v/>
      </c>
      <c r="K30" s="59" t="str">
        <f>IF(AND('Mapa final'!$Y$17="Media",'Mapa final'!$AA$17="Leve"),CONCATENATE("R5C",'Mapa final'!$O$17),"")</f>
        <v/>
      </c>
      <c r="L30" s="59" t="str">
        <f>IF(AND('Mapa final'!$Y$18="Media",'Mapa final'!$AA$18="Leve"),CONCATENATE("R5C",'Mapa final'!$O$18),"")</f>
        <v/>
      </c>
      <c r="M30" s="59" t="str">
        <f>IF(AND('Mapa final'!$Y$19="Media",'Mapa final'!$AA$19="Leve"),CONCATENATE("R5C",'Mapa final'!$O$19),"")</f>
        <v/>
      </c>
      <c r="N30" s="59" t="str">
        <f>IF(AND('Mapa final'!$Y$20="Media",'Mapa final'!$AA$20="Leve"),CONCATENATE("R5C",'Mapa final'!$O$20),"")</f>
        <v/>
      </c>
      <c r="O30" s="60" t="str">
        <f>IF(AND('Mapa final'!$Y$21="Media",'Mapa final'!$AA$21="Leve"),CONCATENATE("R5C",'Mapa final'!$O$21),"")</f>
        <v/>
      </c>
      <c r="P30" s="58" t="str">
        <f ca="1">IF(AND('Mapa final'!$Y$16="Media",'Mapa final'!$AA$16="Menor"),CONCATENATE("R5C",'Mapa final'!$O$16),"")</f>
        <v/>
      </c>
      <c r="Q30" s="59" t="str">
        <f>IF(AND('Mapa final'!$Y$17="Media",'Mapa final'!$AA$17="Menor"),CONCATENATE("R5C",'Mapa final'!$O$17),"")</f>
        <v/>
      </c>
      <c r="R30" s="59" t="str">
        <f>IF(AND('Mapa final'!$Y$18="Media",'Mapa final'!$AA$18="Menor"),CONCATENATE("R5C",'Mapa final'!$O$18),"")</f>
        <v/>
      </c>
      <c r="S30" s="59" t="str">
        <f>IF(AND('Mapa final'!$Y$19="Media",'Mapa final'!$AA$19="Menor"),CONCATENATE("R5C",'Mapa final'!$O$19),"")</f>
        <v/>
      </c>
      <c r="T30" s="59" t="str">
        <f>IF(AND('Mapa final'!$Y$20="Media",'Mapa final'!$AA$20="Menor"),CONCATENATE("R5C",'Mapa final'!$O$20),"")</f>
        <v/>
      </c>
      <c r="U30" s="60" t="str">
        <f>IF(AND('Mapa final'!$Y$21="Media",'Mapa final'!$AA$21="Menor"),CONCATENATE("R5C",'Mapa final'!$O$21),"")</f>
        <v/>
      </c>
      <c r="V30" s="58" t="str">
        <f ca="1">IF(AND('Mapa final'!$Y$16="Media",'Mapa final'!$AA$16="Moderado"),CONCATENATE("R5C",'Mapa final'!$O$16),"")</f>
        <v>R5C1</v>
      </c>
      <c r="W30" s="59" t="str">
        <f>IF(AND('Mapa final'!$Y$17="Media",'Mapa final'!$AA$17="Moderado"),CONCATENATE("R5C",'Mapa final'!$O$17),"")</f>
        <v/>
      </c>
      <c r="X30" s="59" t="str">
        <f>IF(AND('Mapa final'!$Y$18="Media",'Mapa final'!$AA$18="Moderado"),CONCATENATE("R5C",'Mapa final'!$O$18),"")</f>
        <v/>
      </c>
      <c r="Y30" s="59" t="str">
        <f>IF(AND('Mapa final'!$Y$19="Media",'Mapa final'!$AA$19="Moderado"),CONCATENATE("R5C",'Mapa final'!$O$19),"")</f>
        <v/>
      </c>
      <c r="Z30" s="59" t="str">
        <f>IF(AND('Mapa final'!$Y$20="Media",'Mapa final'!$AA$20="Moderado"),CONCATENATE("R5C",'Mapa final'!$O$20),"")</f>
        <v/>
      </c>
      <c r="AA30" s="60" t="str">
        <f>IF(AND('Mapa final'!$Y$21="Media",'Mapa final'!$AA$21="Moderado"),CONCATENATE("R5C",'Mapa final'!$O$21),"")</f>
        <v/>
      </c>
      <c r="AB30" s="43" t="str">
        <f ca="1">IF(AND('Mapa final'!$Y$16="Media",'Mapa final'!$AA$16="Mayor"),CONCATENATE("R5C",'Mapa final'!$O$16),"")</f>
        <v/>
      </c>
      <c r="AC30" s="44" t="str">
        <f>IF(AND('Mapa final'!$Y$17="Media",'Mapa final'!$AA$17="Mayor"),CONCATENATE("R5C",'Mapa final'!$O$17),"")</f>
        <v/>
      </c>
      <c r="AD30" s="44" t="str">
        <f>IF(AND('Mapa final'!$Y$18="Media",'Mapa final'!$AA$18="Mayor"),CONCATENATE("R5C",'Mapa final'!$O$18),"")</f>
        <v/>
      </c>
      <c r="AE30" s="44" t="str">
        <f>IF(AND('Mapa final'!$Y$19="Media",'Mapa final'!$AA$19="Mayor"),CONCATENATE("R5C",'Mapa final'!$O$19),"")</f>
        <v/>
      </c>
      <c r="AF30" s="44" t="str">
        <f>IF(AND('Mapa final'!$Y$20="Media",'Mapa final'!$AA$20="Mayor"),CONCATENATE("R5C",'Mapa final'!$O$20),"")</f>
        <v/>
      </c>
      <c r="AG30" s="45" t="str">
        <f>IF(AND('Mapa final'!$Y$21="Media",'Mapa final'!$AA$21="Mayor"),CONCATENATE("R5C",'Mapa final'!$O$21),"")</f>
        <v/>
      </c>
      <c r="AH30" s="46" t="str">
        <f ca="1">IF(AND('Mapa final'!$Y$16="Media",'Mapa final'!$AA$16="Catastrófico"),CONCATENATE("R5C",'Mapa final'!$O$16),"")</f>
        <v/>
      </c>
      <c r="AI30" s="47" t="str">
        <f>IF(AND('Mapa final'!$Y$17="Media",'Mapa final'!$AA$17="Catastrófico"),CONCATENATE("R5C",'Mapa final'!$O$17),"")</f>
        <v/>
      </c>
      <c r="AJ30" s="47" t="str">
        <f>IF(AND('Mapa final'!$Y$18="Media",'Mapa final'!$AA$18="Catastrófico"),CONCATENATE("R5C",'Mapa final'!$O$18),"")</f>
        <v/>
      </c>
      <c r="AK30" s="47" t="str">
        <f>IF(AND('Mapa final'!$Y$19="Media",'Mapa final'!$AA$19="Catastrófico"),CONCATENATE("R5C",'Mapa final'!$O$19),"")</f>
        <v/>
      </c>
      <c r="AL30" s="47" t="str">
        <f>IF(AND('Mapa final'!$Y$20="Media",'Mapa final'!$AA$20="Catastrófico"),CONCATENATE("R5C",'Mapa final'!$O$20),"")</f>
        <v/>
      </c>
      <c r="AM30" s="48" t="str">
        <f>IF(AND('Mapa final'!$Y$21="Media",'Mapa final'!$AA$21="Catastrófico"),CONCATENATE("R5C",'Mapa final'!$O$21),"")</f>
        <v/>
      </c>
      <c r="AN30" s="74"/>
      <c r="AO30" s="365"/>
      <c r="AP30" s="366"/>
      <c r="AQ30" s="366"/>
      <c r="AR30" s="366"/>
      <c r="AS30" s="366"/>
      <c r="AT30" s="367"/>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row>
    <row r="31" spans="1:76" ht="15" customHeight="1" x14ac:dyDescent="0.25">
      <c r="A31" s="74"/>
      <c r="B31" s="237"/>
      <c r="C31" s="237"/>
      <c r="D31" s="238"/>
      <c r="E31" s="336"/>
      <c r="F31" s="335"/>
      <c r="G31" s="335"/>
      <c r="H31" s="335"/>
      <c r="I31" s="351"/>
      <c r="J31" s="58" t="str">
        <f ca="1">IF(AND('Mapa final'!$Y$28="Media",'Mapa final'!$AA$28="Leve"),CONCATENATE("R6C",'Mapa final'!$O$28),"")</f>
        <v/>
      </c>
      <c r="K31" s="59" t="str">
        <f ca="1">IF(AND('Mapa final'!$Y$29="Media",'Mapa final'!$AA$29="Leve"),CONCATENATE("R6C",'Mapa final'!$O$29),"")</f>
        <v/>
      </c>
      <c r="L31" s="59" t="str">
        <f>IF(AND('Mapa final'!$Y$30="Media",'Mapa final'!$AA$30="Leve"),CONCATENATE("R6C",'Mapa final'!$O$30),"")</f>
        <v/>
      </c>
      <c r="M31" s="59" t="str">
        <f>IF(AND('Mapa final'!$Y$31="Media",'Mapa final'!$AA$31="Leve"),CONCATENATE("R6C",'Mapa final'!$O$31),"")</f>
        <v/>
      </c>
      <c r="N31" s="59" t="str">
        <f>IF(AND('Mapa final'!$Y$32="Media",'Mapa final'!$AA$32="Leve"),CONCATENATE("R6C",'Mapa final'!$O$32),"")</f>
        <v/>
      </c>
      <c r="O31" s="60" t="str">
        <f>IF(AND('Mapa final'!$Y$33="Media",'Mapa final'!$AA$33="Leve"),CONCATENATE("R6C",'Mapa final'!$O$33),"")</f>
        <v/>
      </c>
      <c r="P31" s="58" t="str">
        <f ca="1">IF(AND('Mapa final'!$Y$28="Media",'Mapa final'!$AA$28="Menor"),CONCATENATE("R6C",'Mapa final'!$O$28),"")</f>
        <v/>
      </c>
      <c r="Q31" s="59" t="str">
        <f ca="1">IF(AND('Mapa final'!$Y$29="Media",'Mapa final'!$AA$29="Menor"),CONCATENATE("R6C",'Mapa final'!$O$29),"")</f>
        <v/>
      </c>
      <c r="R31" s="59" t="str">
        <f>IF(AND('Mapa final'!$Y$30="Media",'Mapa final'!$AA$30="Menor"),CONCATENATE("R6C",'Mapa final'!$O$30),"")</f>
        <v/>
      </c>
      <c r="S31" s="59" t="str">
        <f>IF(AND('Mapa final'!$Y$31="Media",'Mapa final'!$AA$31="Menor"),CONCATENATE("R6C",'Mapa final'!$O$31),"")</f>
        <v/>
      </c>
      <c r="T31" s="59" t="str">
        <f>IF(AND('Mapa final'!$Y$32="Media",'Mapa final'!$AA$32="Menor"),CONCATENATE("R6C",'Mapa final'!$O$32),"")</f>
        <v/>
      </c>
      <c r="U31" s="60" t="str">
        <f>IF(AND('Mapa final'!$Y$33="Media",'Mapa final'!$AA$33="Menor"),CONCATENATE("R6C",'Mapa final'!$O$33),"")</f>
        <v/>
      </c>
      <c r="V31" s="58" t="str">
        <f ca="1">IF(AND('Mapa final'!$Y$28="Media",'Mapa final'!$AA$28="Moderado"),CONCATENATE("R6C",'Mapa final'!$O$28),"")</f>
        <v>R6C1</v>
      </c>
      <c r="W31" s="59" t="str">
        <f ca="1">IF(AND('Mapa final'!$Y$29="Media",'Mapa final'!$AA$29="Moderado"),CONCATENATE("R6C",'Mapa final'!$O$29),"")</f>
        <v/>
      </c>
      <c r="X31" s="59" t="str">
        <f>IF(AND('Mapa final'!$Y$30="Media",'Mapa final'!$AA$30="Moderado"),CONCATENATE("R6C",'Mapa final'!$O$30),"")</f>
        <v/>
      </c>
      <c r="Y31" s="59" t="str">
        <f>IF(AND('Mapa final'!$Y$31="Media",'Mapa final'!$AA$31="Moderado"),CONCATENATE("R6C",'Mapa final'!$O$31),"")</f>
        <v/>
      </c>
      <c r="Z31" s="59" t="str">
        <f>IF(AND('Mapa final'!$Y$32="Media",'Mapa final'!$AA$32="Moderado"),CONCATENATE("R6C",'Mapa final'!$O$32),"")</f>
        <v/>
      </c>
      <c r="AA31" s="60" t="str">
        <f>IF(AND('Mapa final'!$Y$33="Media",'Mapa final'!$AA$33="Moderado"),CONCATENATE("R6C",'Mapa final'!$O$33),"")</f>
        <v/>
      </c>
      <c r="AB31" s="43" t="str">
        <f ca="1">IF(AND('Mapa final'!$Y$28="Media",'Mapa final'!$AA$28="Mayor"),CONCATENATE("R6C",'Mapa final'!$O$28),"")</f>
        <v/>
      </c>
      <c r="AC31" s="44" t="str">
        <f ca="1">IF(AND('Mapa final'!$Y$29="Media",'Mapa final'!$AA$29="Mayor"),CONCATENATE("R6C",'Mapa final'!$O$29),"")</f>
        <v/>
      </c>
      <c r="AD31" s="44" t="str">
        <f>IF(AND('Mapa final'!$Y$30="Media",'Mapa final'!$AA$30="Mayor"),CONCATENATE("R6C",'Mapa final'!$O$30),"")</f>
        <v/>
      </c>
      <c r="AE31" s="44" t="str">
        <f>IF(AND('Mapa final'!$Y$31="Media",'Mapa final'!$AA$31="Mayor"),CONCATENATE("R6C",'Mapa final'!$O$31),"")</f>
        <v/>
      </c>
      <c r="AF31" s="44" t="str">
        <f>IF(AND('Mapa final'!$Y$32="Media",'Mapa final'!$AA$32="Mayor"),CONCATENATE("R6C",'Mapa final'!$O$32),"")</f>
        <v/>
      </c>
      <c r="AG31" s="45" t="str">
        <f>IF(AND('Mapa final'!$Y$33="Media",'Mapa final'!$AA$33="Mayor"),CONCATENATE("R6C",'Mapa final'!$O$33),"")</f>
        <v/>
      </c>
      <c r="AH31" s="46" t="str">
        <f ca="1">IF(AND('Mapa final'!$Y$28="Media",'Mapa final'!$AA$28="Catastrófico"),CONCATENATE("R6C",'Mapa final'!$O$28),"")</f>
        <v/>
      </c>
      <c r="AI31" s="47" t="str">
        <f ca="1">IF(AND('Mapa final'!$Y$29="Media",'Mapa final'!$AA$29="Catastrófico"),CONCATENATE("R6C",'Mapa final'!$O$29),"")</f>
        <v/>
      </c>
      <c r="AJ31" s="47" t="str">
        <f>IF(AND('Mapa final'!$Y$30="Media",'Mapa final'!$AA$30="Catastrófico"),CONCATENATE("R6C",'Mapa final'!$O$30),"")</f>
        <v/>
      </c>
      <c r="AK31" s="47" t="str">
        <f>IF(AND('Mapa final'!$Y$31="Media",'Mapa final'!$AA$31="Catastrófico"),CONCATENATE("R6C",'Mapa final'!$O$31),"")</f>
        <v/>
      </c>
      <c r="AL31" s="47" t="str">
        <f>IF(AND('Mapa final'!$Y$32="Media",'Mapa final'!$AA$32="Catastrófico"),CONCATENATE("R6C",'Mapa final'!$O$32),"")</f>
        <v/>
      </c>
      <c r="AM31" s="48" t="str">
        <f>IF(AND('Mapa final'!$Y$33="Media",'Mapa final'!$AA$33="Catastrófico"),CONCATENATE("R6C",'Mapa final'!$O$33),"")</f>
        <v/>
      </c>
      <c r="AN31" s="74"/>
      <c r="AO31" s="365"/>
      <c r="AP31" s="366"/>
      <c r="AQ31" s="366"/>
      <c r="AR31" s="366"/>
      <c r="AS31" s="366"/>
      <c r="AT31" s="367"/>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row>
    <row r="32" spans="1:76" ht="15" customHeight="1" x14ac:dyDescent="0.25">
      <c r="A32" s="74"/>
      <c r="B32" s="237"/>
      <c r="C32" s="237"/>
      <c r="D32" s="238"/>
      <c r="E32" s="336"/>
      <c r="F32" s="335"/>
      <c r="G32" s="335"/>
      <c r="H32" s="335"/>
      <c r="I32" s="351"/>
      <c r="J32" s="58" t="str">
        <f ca="1">IF(AND('Mapa final'!$Y$34="Media",'Mapa final'!$AA$34="Leve"),CONCATENATE("R7C",'Mapa final'!$O$34),"")</f>
        <v/>
      </c>
      <c r="K32" s="59" t="str">
        <f ca="1">IF(AND('Mapa final'!$Y$35="Media",'Mapa final'!$AA$35="Leve"),CONCATENATE("R7C",'Mapa final'!$O$35),"")</f>
        <v/>
      </c>
      <c r="L32" s="59" t="str">
        <f>IF(AND('Mapa final'!$Y$36="Media",'Mapa final'!$AA$36="Leve"),CONCATENATE("R7C",'Mapa final'!$O$36),"")</f>
        <v/>
      </c>
      <c r="M32" s="59" t="str">
        <f>IF(AND('Mapa final'!$Y$37="Media",'Mapa final'!$AA$37="Leve"),CONCATENATE("R7C",'Mapa final'!$O$37),"")</f>
        <v/>
      </c>
      <c r="N32" s="59" t="str">
        <f>IF(AND('Mapa final'!$Y$38="Media",'Mapa final'!$AA$38="Leve"),CONCATENATE("R7C",'Mapa final'!$O$38),"")</f>
        <v/>
      </c>
      <c r="O32" s="60" t="str">
        <f>IF(AND('Mapa final'!$Y$39="Media",'Mapa final'!$AA$39="Leve"),CONCATENATE("R7C",'Mapa final'!$O$39),"")</f>
        <v/>
      </c>
      <c r="P32" s="58" t="str">
        <f ca="1">IF(AND('Mapa final'!$Y$34="Media",'Mapa final'!$AA$34="Menor"),CONCATENATE("R7C",'Mapa final'!$O$34),"")</f>
        <v/>
      </c>
      <c r="Q32" s="59" t="str">
        <f ca="1">IF(AND('Mapa final'!$Y$35="Media",'Mapa final'!$AA$35="Menor"),CONCATENATE("R7C",'Mapa final'!$O$35),"")</f>
        <v/>
      </c>
      <c r="R32" s="59" t="str">
        <f>IF(AND('Mapa final'!$Y$36="Media",'Mapa final'!$AA$36="Menor"),CONCATENATE("R7C",'Mapa final'!$O$36),"")</f>
        <v/>
      </c>
      <c r="S32" s="59" t="str">
        <f>IF(AND('Mapa final'!$Y$37="Media",'Mapa final'!$AA$37="Menor"),CONCATENATE("R7C",'Mapa final'!$O$37),"")</f>
        <v/>
      </c>
      <c r="T32" s="59" t="str">
        <f>IF(AND('Mapa final'!$Y$38="Media",'Mapa final'!$AA$38="Menor"),CONCATENATE("R7C",'Mapa final'!$O$38),"")</f>
        <v/>
      </c>
      <c r="U32" s="60" t="str">
        <f>IF(AND('Mapa final'!$Y$39="Media",'Mapa final'!$AA$39="Menor"),CONCATENATE("R7C",'Mapa final'!$O$39),"")</f>
        <v/>
      </c>
      <c r="V32" s="58" t="str">
        <f ca="1">IF(AND('Mapa final'!$Y$34="Media",'Mapa final'!$AA$34="Moderado"),CONCATENATE("R7C",'Mapa final'!$O$34),"")</f>
        <v/>
      </c>
      <c r="W32" s="59" t="str">
        <f ca="1">IF(AND('Mapa final'!$Y$35="Media",'Mapa final'!$AA$35="Moderado"),CONCATENATE("R7C",'Mapa final'!$O$35),"")</f>
        <v/>
      </c>
      <c r="X32" s="59" t="str">
        <f>IF(AND('Mapa final'!$Y$36="Media",'Mapa final'!$AA$36="Moderado"),CONCATENATE("R7C",'Mapa final'!$O$36),"")</f>
        <v/>
      </c>
      <c r="Y32" s="59" t="str">
        <f>IF(AND('Mapa final'!$Y$37="Media",'Mapa final'!$AA$37="Moderado"),CONCATENATE("R7C",'Mapa final'!$O$37),"")</f>
        <v/>
      </c>
      <c r="Z32" s="59" t="str">
        <f>IF(AND('Mapa final'!$Y$38="Media",'Mapa final'!$AA$38="Moderado"),CONCATENATE("R7C",'Mapa final'!$O$38),"")</f>
        <v/>
      </c>
      <c r="AA32" s="60" t="str">
        <f>IF(AND('Mapa final'!$Y$39="Media",'Mapa final'!$AA$39="Moderado"),CONCATENATE("R7C",'Mapa final'!$O$39),"")</f>
        <v/>
      </c>
      <c r="AB32" s="43" t="str">
        <f ca="1">IF(AND('Mapa final'!$Y$34="Media",'Mapa final'!$AA$34="Mayor"),CONCATENATE("R7C",'Mapa final'!$O$34),"")</f>
        <v>R7C1</v>
      </c>
      <c r="AC32" s="44" t="str">
        <f ca="1">IF(AND('Mapa final'!$Y$35="Media",'Mapa final'!$AA$35="Mayor"),CONCATENATE("R7C",'Mapa final'!$O$35),"")</f>
        <v/>
      </c>
      <c r="AD32" s="44" t="str">
        <f>IF(AND('Mapa final'!$Y$36="Media",'Mapa final'!$AA$36="Mayor"),CONCATENATE("R7C",'Mapa final'!$O$36),"")</f>
        <v/>
      </c>
      <c r="AE32" s="44" t="str">
        <f>IF(AND('Mapa final'!$Y$37="Media",'Mapa final'!$AA$37="Mayor"),CONCATENATE("R7C",'Mapa final'!$O$37),"")</f>
        <v/>
      </c>
      <c r="AF32" s="44" t="str">
        <f>IF(AND('Mapa final'!$Y$38="Media",'Mapa final'!$AA$38="Mayor"),CONCATENATE("R7C",'Mapa final'!$O$38),"")</f>
        <v/>
      </c>
      <c r="AG32" s="45" t="str">
        <f>IF(AND('Mapa final'!$Y$39="Media",'Mapa final'!$AA$39="Mayor"),CONCATENATE("R7C",'Mapa final'!$O$39),"")</f>
        <v/>
      </c>
      <c r="AH32" s="46" t="str">
        <f ca="1">IF(AND('Mapa final'!$Y$34="Media",'Mapa final'!$AA$34="Catastrófico"),CONCATENATE("R7C",'Mapa final'!$O$34),"")</f>
        <v/>
      </c>
      <c r="AI32" s="47" t="str">
        <f ca="1">IF(AND('Mapa final'!$Y$35="Media",'Mapa final'!$AA$35="Catastrófico"),CONCATENATE("R7C",'Mapa final'!$O$35),"")</f>
        <v/>
      </c>
      <c r="AJ32" s="47" t="str">
        <f>IF(AND('Mapa final'!$Y$36="Media",'Mapa final'!$AA$36="Catastrófico"),CONCATENATE("R7C",'Mapa final'!$O$36),"")</f>
        <v/>
      </c>
      <c r="AK32" s="47" t="str">
        <f>IF(AND('Mapa final'!$Y$37="Media",'Mapa final'!$AA$37="Catastrófico"),CONCATENATE("R7C",'Mapa final'!$O$37),"")</f>
        <v/>
      </c>
      <c r="AL32" s="47" t="str">
        <f>IF(AND('Mapa final'!$Y$38="Media",'Mapa final'!$AA$38="Catastrófico"),CONCATENATE("R7C",'Mapa final'!$O$38),"")</f>
        <v/>
      </c>
      <c r="AM32" s="48" t="str">
        <f>IF(AND('Mapa final'!$Y$39="Media",'Mapa final'!$AA$39="Catastrófico"),CONCATENATE("R7C",'Mapa final'!$O$39),"")</f>
        <v/>
      </c>
      <c r="AN32" s="74"/>
      <c r="AO32" s="365"/>
      <c r="AP32" s="366"/>
      <c r="AQ32" s="366"/>
      <c r="AR32" s="366"/>
      <c r="AS32" s="366"/>
      <c r="AT32" s="367"/>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row>
    <row r="33" spans="1:80" ht="15" customHeight="1" x14ac:dyDescent="0.25">
      <c r="A33" s="74"/>
      <c r="B33" s="237"/>
      <c r="C33" s="237"/>
      <c r="D33" s="238"/>
      <c r="E33" s="336"/>
      <c r="F33" s="335"/>
      <c r="G33" s="335"/>
      <c r="H33" s="335"/>
      <c r="I33" s="351"/>
      <c r="J33" s="58" t="str">
        <f ca="1">IF(AND('Mapa final'!$Y$40="Media",'Mapa final'!$AA$40="Leve"),CONCATENATE("R8C",'Mapa final'!$O$40),"")</f>
        <v/>
      </c>
      <c r="K33" s="59" t="str">
        <f>IF(AND('Mapa final'!$Y$41="Media",'Mapa final'!$AA$41="Leve"),CONCATENATE("R8C",'Mapa final'!$O$41),"")</f>
        <v/>
      </c>
      <c r="L33" s="59" t="str">
        <f>IF(AND('Mapa final'!$Y$42="Media",'Mapa final'!$AA$42="Leve"),CONCATENATE("R8C",'Mapa final'!$O$42),"")</f>
        <v/>
      </c>
      <c r="M33" s="59" t="str">
        <f>IF(AND('Mapa final'!$Y$43="Media",'Mapa final'!$AA$43="Leve"),CONCATENATE("R8C",'Mapa final'!$O$43),"")</f>
        <v/>
      </c>
      <c r="N33" s="59" t="str">
        <f>IF(AND('Mapa final'!$Y$44="Media",'Mapa final'!$AA$44="Leve"),CONCATENATE("R8C",'Mapa final'!$O$44),"")</f>
        <v/>
      </c>
      <c r="O33" s="60" t="str">
        <f>IF(AND('Mapa final'!$Y$45="Media",'Mapa final'!$AA$45="Leve"),CONCATENATE("R8C",'Mapa final'!$O$45),"")</f>
        <v/>
      </c>
      <c r="P33" s="58" t="str">
        <f ca="1">IF(AND('Mapa final'!$Y$40="Media",'Mapa final'!$AA$40="Menor"),CONCATENATE("R8C",'Mapa final'!$O$40),"")</f>
        <v/>
      </c>
      <c r="Q33" s="59" t="str">
        <f>IF(AND('Mapa final'!$Y$41="Media",'Mapa final'!$AA$41="Menor"),CONCATENATE("R8C",'Mapa final'!$O$41),"")</f>
        <v/>
      </c>
      <c r="R33" s="59" t="str">
        <f>IF(AND('Mapa final'!$Y$42="Media",'Mapa final'!$AA$42="Menor"),CONCATENATE("R8C",'Mapa final'!$O$42),"")</f>
        <v/>
      </c>
      <c r="S33" s="59" t="str">
        <f>IF(AND('Mapa final'!$Y$43="Media",'Mapa final'!$AA$43="Menor"),CONCATENATE("R8C",'Mapa final'!$O$43),"")</f>
        <v/>
      </c>
      <c r="T33" s="59" t="str">
        <f>IF(AND('Mapa final'!$Y$44="Media",'Mapa final'!$AA$44="Menor"),CONCATENATE("R8C",'Mapa final'!$O$44),"")</f>
        <v/>
      </c>
      <c r="U33" s="60" t="str">
        <f>IF(AND('Mapa final'!$Y$45="Media",'Mapa final'!$AA$45="Menor"),CONCATENATE("R8C",'Mapa final'!$O$45),"")</f>
        <v/>
      </c>
      <c r="V33" s="58" t="str">
        <f ca="1">IF(AND('Mapa final'!$Y$40="Media",'Mapa final'!$AA$40="Moderado"),CONCATENATE("R8C",'Mapa final'!$O$40),"")</f>
        <v/>
      </c>
      <c r="W33" s="59" t="str">
        <f>IF(AND('Mapa final'!$Y$41="Media",'Mapa final'!$AA$41="Moderado"),CONCATENATE("R8C",'Mapa final'!$O$41),"")</f>
        <v/>
      </c>
      <c r="X33" s="59" t="str">
        <f>IF(AND('Mapa final'!$Y$42="Media",'Mapa final'!$AA$42="Moderado"),CONCATENATE("R8C",'Mapa final'!$O$42),"")</f>
        <v/>
      </c>
      <c r="Y33" s="59" t="str">
        <f>IF(AND('Mapa final'!$Y$43="Media",'Mapa final'!$AA$43="Moderado"),CONCATENATE("R8C",'Mapa final'!$O$43),"")</f>
        <v/>
      </c>
      <c r="Z33" s="59" t="str">
        <f>IF(AND('Mapa final'!$Y$44="Media",'Mapa final'!$AA$44="Moderado"),CONCATENATE("R8C",'Mapa final'!$O$44),"")</f>
        <v/>
      </c>
      <c r="AA33" s="60" t="str">
        <f>IF(AND('Mapa final'!$Y$45="Media",'Mapa final'!$AA$45="Moderado"),CONCATENATE("R8C",'Mapa final'!$O$45),"")</f>
        <v/>
      </c>
      <c r="AB33" s="43" t="str">
        <f ca="1">IF(AND('Mapa final'!$Y$40="Media",'Mapa final'!$AA$40="Mayor"),CONCATENATE("R8C",'Mapa final'!$O$40),"")</f>
        <v/>
      </c>
      <c r="AC33" s="44" t="str">
        <f>IF(AND('Mapa final'!$Y$41="Media",'Mapa final'!$AA$41="Mayor"),CONCATENATE("R8C",'Mapa final'!$O$41),"")</f>
        <v/>
      </c>
      <c r="AD33" s="44" t="str">
        <f>IF(AND('Mapa final'!$Y$42="Media",'Mapa final'!$AA$42="Mayor"),CONCATENATE("R8C",'Mapa final'!$O$42),"")</f>
        <v/>
      </c>
      <c r="AE33" s="44" t="str">
        <f>IF(AND('Mapa final'!$Y$43="Media",'Mapa final'!$AA$43="Mayor"),CONCATENATE("R8C",'Mapa final'!$O$43),"")</f>
        <v/>
      </c>
      <c r="AF33" s="44" t="str">
        <f>IF(AND('Mapa final'!$Y$44="Media",'Mapa final'!$AA$44="Mayor"),CONCATENATE("R8C",'Mapa final'!$O$44),"")</f>
        <v/>
      </c>
      <c r="AG33" s="45" t="str">
        <f>IF(AND('Mapa final'!$Y$45="Media",'Mapa final'!$AA$45="Mayor"),CONCATENATE("R8C",'Mapa final'!$O$45),"")</f>
        <v/>
      </c>
      <c r="AH33" s="46" t="str">
        <f ca="1">IF(AND('Mapa final'!$Y$40="Media",'Mapa final'!$AA$40="Catastrófico"),CONCATENATE("R8C",'Mapa final'!$O$40),"")</f>
        <v/>
      </c>
      <c r="AI33" s="47" t="str">
        <f>IF(AND('Mapa final'!$Y$41="Media",'Mapa final'!$AA$41="Catastrófico"),CONCATENATE("R8C",'Mapa final'!$O$41),"")</f>
        <v/>
      </c>
      <c r="AJ33" s="47" t="str">
        <f>IF(AND('Mapa final'!$Y$42="Media",'Mapa final'!$AA$42="Catastrófico"),CONCATENATE("R8C",'Mapa final'!$O$42),"")</f>
        <v/>
      </c>
      <c r="AK33" s="47" t="str">
        <f>IF(AND('Mapa final'!$Y$43="Media",'Mapa final'!$AA$43="Catastrófico"),CONCATENATE("R8C",'Mapa final'!$O$43),"")</f>
        <v/>
      </c>
      <c r="AL33" s="47" t="str">
        <f>IF(AND('Mapa final'!$Y$44="Media",'Mapa final'!$AA$44="Catastrófico"),CONCATENATE("R8C",'Mapa final'!$O$44),"")</f>
        <v/>
      </c>
      <c r="AM33" s="48" t="str">
        <f>IF(AND('Mapa final'!$Y$45="Media",'Mapa final'!$AA$45="Catastrófico"),CONCATENATE("R8C",'Mapa final'!$O$45),"")</f>
        <v/>
      </c>
      <c r="AN33" s="74"/>
      <c r="AO33" s="365"/>
      <c r="AP33" s="366"/>
      <c r="AQ33" s="366"/>
      <c r="AR33" s="366"/>
      <c r="AS33" s="366"/>
      <c r="AT33" s="367"/>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row>
    <row r="34" spans="1:80" ht="15" customHeight="1" x14ac:dyDescent="0.25">
      <c r="A34" s="74"/>
      <c r="B34" s="237"/>
      <c r="C34" s="237"/>
      <c r="D34" s="238"/>
      <c r="E34" s="336"/>
      <c r="F34" s="335"/>
      <c r="G34" s="335"/>
      <c r="H34" s="335"/>
      <c r="I34" s="351"/>
      <c r="J34" s="58" t="str">
        <f ca="1">IF(AND('Mapa final'!$Y$46="Media",'Mapa final'!$AA$46="Leve"),CONCATENATE("R9C",'Mapa final'!$O$46),"")</f>
        <v/>
      </c>
      <c r="K34" s="59" t="str">
        <f ca="1">IF(AND('Mapa final'!$Y$47="Media",'Mapa final'!$AA$47="Leve"),CONCATENATE("R9C",'Mapa final'!$O$47),"")</f>
        <v/>
      </c>
      <c r="L34" s="59" t="str">
        <f>IF(AND('Mapa final'!$Y$48="Media",'Mapa final'!$AA$48="Leve"),CONCATENATE("R9C",'Mapa final'!$O$48),"")</f>
        <v/>
      </c>
      <c r="M34" s="59" t="str">
        <f>IF(AND('Mapa final'!$Y$49="Media",'Mapa final'!$AA$49="Leve"),CONCATENATE("R9C",'Mapa final'!$O$49),"")</f>
        <v/>
      </c>
      <c r="N34" s="59" t="str">
        <f>IF(AND('Mapa final'!$Y$50="Media",'Mapa final'!$AA$50="Leve"),CONCATENATE("R9C",'Mapa final'!$O$50),"")</f>
        <v/>
      </c>
      <c r="O34" s="60" t="str">
        <f>IF(AND('Mapa final'!$Y$51="Media",'Mapa final'!$AA$51="Leve"),CONCATENATE("R9C",'Mapa final'!$O$51),"")</f>
        <v/>
      </c>
      <c r="P34" s="58" t="str">
        <f ca="1">IF(AND('Mapa final'!$Y$46="Media",'Mapa final'!$AA$46="Menor"),CONCATENATE("R9C",'Mapa final'!$O$46),"")</f>
        <v/>
      </c>
      <c r="Q34" s="59" t="str">
        <f ca="1">IF(AND('Mapa final'!$Y$47="Media",'Mapa final'!$AA$47="Menor"),CONCATENATE("R9C",'Mapa final'!$O$47),"")</f>
        <v/>
      </c>
      <c r="R34" s="59" t="str">
        <f>IF(AND('Mapa final'!$Y$48="Media",'Mapa final'!$AA$48="Menor"),CONCATENATE("R9C",'Mapa final'!$O$48),"")</f>
        <v/>
      </c>
      <c r="S34" s="59" t="str">
        <f>IF(AND('Mapa final'!$Y$49="Media",'Mapa final'!$AA$49="Menor"),CONCATENATE("R9C",'Mapa final'!$O$49),"")</f>
        <v/>
      </c>
      <c r="T34" s="59" t="str">
        <f>IF(AND('Mapa final'!$Y$50="Media",'Mapa final'!$AA$50="Menor"),CONCATENATE("R9C",'Mapa final'!$O$50),"")</f>
        <v/>
      </c>
      <c r="U34" s="60" t="str">
        <f>IF(AND('Mapa final'!$Y$51="Media",'Mapa final'!$AA$51="Menor"),CONCATENATE("R9C",'Mapa final'!$O$51),"")</f>
        <v/>
      </c>
      <c r="V34" s="58" t="str">
        <f ca="1">IF(AND('Mapa final'!$Y$46="Media",'Mapa final'!$AA$46="Moderado"),CONCATENATE("R9C",'Mapa final'!$O$46),"")</f>
        <v/>
      </c>
      <c r="W34" s="59" t="str">
        <f ca="1">IF(AND('Mapa final'!$Y$47="Media",'Mapa final'!$AA$47="Moderado"),CONCATENATE("R9C",'Mapa final'!$O$47),"")</f>
        <v/>
      </c>
      <c r="X34" s="59" t="str">
        <f>IF(AND('Mapa final'!$Y$48="Media",'Mapa final'!$AA$48="Moderado"),CONCATENATE("R9C",'Mapa final'!$O$48),"")</f>
        <v/>
      </c>
      <c r="Y34" s="59" t="str">
        <f>IF(AND('Mapa final'!$Y$49="Media",'Mapa final'!$AA$49="Moderado"),CONCATENATE("R9C",'Mapa final'!$O$49),"")</f>
        <v/>
      </c>
      <c r="Z34" s="59" t="str">
        <f>IF(AND('Mapa final'!$Y$50="Media",'Mapa final'!$AA$50="Moderado"),CONCATENATE("R9C",'Mapa final'!$O$50),"")</f>
        <v/>
      </c>
      <c r="AA34" s="60" t="str">
        <f>IF(AND('Mapa final'!$Y$51="Media",'Mapa final'!$AA$51="Moderado"),CONCATENATE("R9C",'Mapa final'!$O$51),"")</f>
        <v/>
      </c>
      <c r="AB34" s="43" t="str">
        <f ca="1">IF(AND('Mapa final'!$Y$46="Media",'Mapa final'!$AA$46="Mayor"),CONCATENATE("R9C",'Mapa final'!$O$46),"")</f>
        <v/>
      </c>
      <c r="AC34" s="44" t="str">
        <f ca="1">IF(AND('Mapa final'!$Y$47="Media",'Mapa final'!$AA$47="Mayor"),CONCATENATE("R9C",'Mapa final'!$O$47),"")</f>
        <v/>
      </c>
      <c r="AD34" s="44" t="str">
        <f>IF(AND('Mapa final'!$Y$48="Media",'Mapa final'!$AA$48="Mayor"),CONCATENATE("R9C",'Mapa final'!$O$48),"")</f>
        <v/>
      </c>
      <c r="AE34" s="44" t="str">
        <f>IF(AND('Mapa final'!$Y$49="Media",'Mapa final'!$AA$49="Mayor"),CONCATENATE("R9C",'Mapa final'!$O$49),"")</f>
        <v/>
      </c>
      <c r="AF34" s="44" t="str">
        <f>IF(AND('Mapa final'!$Y$50="Media",'Mapa final'!$AA$50="Mayor"),CONCATENATE("R9C",'Mapa final'!$O$50),"")</f>
        <v/>
      </c>
      <c r="AG34" s="45" t="str">
        <f>IF(AND('Mapa final'!$Y$51="Media",'Mapa final'!$AA$51="Mayor"),CONCATENATE("R9C",'Mapa final'!$O$51),"")</f>
        <v/>
      </c>
      <c r="AH34" s="46" t="str">
        <f ca="1">IF(AND('Mapa final'!$Y$46="Media",'Mapa final'!$AA$46="Catastrófico"),CONCATENATE("R9C",'Mapa final'!$O$46),"")</f>
        <v/>
      </c>
      <c r="AI34" s="47" t="str">
        <f ca="1">IF(AND('Mapa final'!$Y$47="Media",'Mapa final'!$AA$47="Catastrófico"),CONCATENATE("R9C",'Mapa final'!$O$47),"")</f>
        <v/>
      </c>
      <c r="AJ34" s="47" t="str">
        <f>IF(AND('Mapa final'!$Y$48="Media",'Mapa final'!$AA$48="Catastrófico"),CONCATENATE("R9C",'Mapa final'!$O$48),"")</f>
        <v/>
      </c>
      <c r="AK34" s="47" t="str">
        <f>IF(AND('Mapa final'!$Y$49="Media",'Mapa final'!$AA$49="Catastrófico"),CONCATENATE("R9C",'Mapa final'!$O$49),"")</f>
        <v/>
      </c>
      <c r="AL34" s="47" t="str">
        <f>IF(AND('Mapa final'!$Y$50="Media",'Mapa final'!$AA$50="Catastrófico"),CONCATENATE("R9C",'Mapa final'!$O$50),"")</f>
        <v/>
      </c>
      <c r="AM34" s="48" t="str">
        <f>IF(AND('Mapa final'!$Y$51="Media",'Mapa final'!$AA$51="Catastrófico"),CONCATENATE("R9C",'Mapa final'!$O$51),"")</f>
        <v/>
      </c>
      <c r="AN34" s="74"/>
      <c r="AO34" s="365"/>
      <c r="AP34" s="366"/>
      <c r="AQ34" s="366"/>
      <c r="AR34" s="366"/>
      <c r="AS34" s="366"/>
      <c r="AT34" s="367"/>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row>
    <row r="35" spans="1:80" ht="15.75" customHeight="1" thickBot="1" x14ac:dyDescent="0.3">
      <c r="A35" s="74"/>
      <c r="B35" s="237"/>
      <c r="C35" s="237"/>
      <c r="D35" s="238"/>
      <c r="E35" s="337"/>
      <c r="F35" s="338"/>
      <c r="G35" s="338"/>
      <c r="H35" s="338"/>
      <c r="I35" s="352"/>
      <c r="J35" s="58" t="str">
        <f>IF(AND('Mapa final'!$Y$52="Media",'Mapa final'!$AA$52="Leve"),CONCATENATE("R10C",'Mapa final'!$O$52),"")</f>
        <v/>
      </c>
      <c r="K35" s="59" t="str">
        <f>IF(AND('Mapa final'!$Y$53="Media",'Mapa final'!$AA$53="Leve"),CONCATENATE("R10C",'Mapa final'!$O$53),"")</f>
        <v/>
      </c>
      <c r="L35" s="59" t="str">
        <f>IF(AND('Mapa final'!$Y$54="Media",'Mapa final'!$AA$54="Leve"),CONCATENATE("R10C",'Mapa final'!$O$54),"")</f>
        <v/>
      </c>
      <c r="M35" s="59" t="str">
        <f>IF(AND('Mapa final'!$Y$55="Media",'Mapa final'!$AA$55="Leve"),CONCATENATE("R10C",'Mapa final'!$O$55),"")</f>
        <v/>
      </c>
      <c r="N35" s="59" t="str">
        <f>IF(AND('Mapa final'!$Y$56="Media",'Mapa final'!$AA$56="Leve"),CONCATENATE("R10C",'Mapa final'!$O$56),"")</f>
        <v/>
      </c>
      <c r="O35" s="60" t="str">
        <f>IF(AND('Mapa final'!$Y$57="Media",'Mapa final'!$AA$57="Leve"),CONCATENATE("R10C",'Mapa final'!$O$57),"")</f>
        <v/>
      </c>
      <c r="P35" s="58" t="str">
        <f>IF(AND('Mapa final'!$Y$52="Media",'Mapa final'!$AA$52="Menor"),CONCATENATE("R10C",'Mapa final'!$O$52),"")</f>
        <v/>
      </c>
      <c r="Q35" s="59" t="str">
        <f>IF(AND('Mapa final'!$Y$53="Media",'Mapa final'!$AA$53="Menor"),CONCATENATE("R10C",'Mapa final'!$O$53),"")</f>
        <v/>
      </c>
      <c r="R35" s="59" t="str">
        <f>IF(AND('Mapa final'!$Y$54="Media",'Mapa final'!$AA$54="Menor"),CONCATENATE("R10C",'Mapa final'!$O$54),"")</f>
        <v/>
      </c>
      <c r="S35" s="59" t="str">
        <f>IF(AND('Mapa final'!$Y$55="Media",'Mapa final'!$AA$55="Menor"),CONCATENATE("R10C",'Mapa final'!$O$55),"")</f>
        <v/>
      </c>
      <c r="T35" s="59" t="str">
        <f>IF(AND('Mapa final'!$Y$56="Media",'Mapa final'!$AA$56="Menor"),CONCATENATE("R10C",'Mapa final'!$O$56),"")</f>
        <v/>
      </c>
      <c r="U35" s="60" t="str">
        <f>IF(AND('Mapa final'!$Y$57="Media",'Mapa final'!$AA$57="Menor"),CONCATENATE("R10C",'Mapa final'!$O$57),"")</f>
        <v/>
      </c>
      <c r="V35" s="58" t="str">
        <f>IF(AND('Mapa final'!$Y$52="Media",'Mapa final'!$AA$52="Moderado"),CONCATENATE("R10C",'Mapa final'!$O$52),"")</f>
        <v/>
      </c>
      <c r="W35" s="59" t="str">
        <f>IF(AND('Mapa final'!$Y$53="Media",'Mapa final'!$AA$53="Moderado"),CONCATENATE("R10C",'Mapa final'!$O$53),"")</f>
        <v/>
      </c>
      <c r="X35" s="59" t="str">
        <f>IF(AND('Mapa final'!$Y$54="Media",'Mapa final'!$AA$54="Moderado"),CONCATENATE("R10C",'Mapa final'!$O$54),"")</f>
        <v/>
      </c>
      <c r="Y35" s="59" t="str">
        <f>IF(AND('Mapa final'!$Y$55="Media",'Mapa final'!$AA$55="Moderado"),CONCATENATE("R10C",'Mapa final'!$O$55),"")</f>
        <v/>
      </c>
      <c r="Z35" s="59" t="str">
        <f>IF(AND('Mapa final'!$Y$56="Media",'Mapa final'!$AA$56="Moderado"),CONCATENATE("R10C",'Mapa final'!$O$56),"")</f>
        <v/>
      </c>
      <c r="AA35" s="60" t="str">
        <f>IF(AND('Mapa final'!$Y$57="Media",'Mapa final'!$AA$57="Moderado"),CONCATENATE("R10C",'Mapa final'!$O$57),"")</f>
        <v/>
      </c>
      <c r="AB35" s="49" t="str">
        <f>IF(AND('Mapa final'!$Y$52="Media",'Mapa final'!$AA$52="Mayor"),CONCATENATE("R10C",'Mapa final'!$O$52),"")</f>
        <v/>
      </c>
      <c r="AC35" s="50" t="str">
        <f>IF(AND('Mapa final'!$Y$53="Media",'Mapa final'!$AA$53="Mayor"),CONCATENATE("R10C",'Mapa final'!$O$53),"")</f>
        <v/>
      </c>
      <c r="AD35" s="50" t="str">
        <f>IF(AND('Mapa final'!$Y$54="Media",'Mapa final'!$AA$54="Mayor"),CONCATENATE("R10C",'Mapa final'!$O$54),"")</f>
        <v/>
      </c>
      <c r="AE35" s="50" t="str">
        <f>IF(AND('Mapa final'!$Y$55="Media",'Mapa final'!$AA$55="Mayor"),CONCATENATE("R10C",'Mapa final'!$O$55),"")</f>
        <v/>
      </c>
      <c r="AF35" s="50" t="str">
        <f>IF(AND('Mapa final'!$Y$56="Media",'Mapa final'!$AA$56="Mayor"),CONCATENATE("R10C",'Mapa final'!$O$56),"")</f>
        <v/>
      </c>
      <c r="AG35" s="51" t="str">
        <f>IF(AND('Mapa final'!$Y$57="Media",'Mapa final'!$AA$57="Mayor"),CONCATENATE("R10C",'Mapa final'!$O$57),"")</f>
        <v/>
      </c>
      <c r="AH35" s="52" t="str">
        <f>IF(AND('Mapa final'!$Y$52="Media",'Mapa final'!$AA$52="Catastrófico"),CONCATENATE("R10C",'Mapa final'!$O$52),"")</f>
        <v/>
      </c>
      <c r="AI35" s="53" t="str">
        <f>IF(AND('Mapa final'!$Y$53="Media",'Mapa final'!$AA$53="Catastrófico"),CONCATENATE("R10C",'Mapa final'!$O$53),"")</f>
        <v/>
      </c>
      <c r="AJ35" s="53" t="str">
        <f>IF(AND('Mapa final'!$Y$54="Media",'Mapa final'!$AA$54="Catastrófico"),CONCATENATE("R10C",'Mapa final'!$O$54),"")</f>
        <v/>
      </c>
      <c r="AK35" s="53" t="str">
        <f>IF(AND('Mapa final'!$Y$55="Media",'Mapa final'!$AA$55="Catastrófico"),CONCATENATE("R10C",'Mapa final'!$O$55),"")</f>
        <v/>
      </c>
      <c r="AL35" s="53" t="str">
        <f>IF(AND('Mapa final'!$Y$56="Media",'Mapa final'!$AA$56="Catastrófico"),CONCATENATE("R10C",'Mapa final'!$O$56),"")</f>
        <v/>
      </c>
      <c r="AM35" s="54" t="str">
        <f>IF(AND('Mapa final'!$Y$57="Media",'Mapa final'!$AA$57="Catastrófico"),CONCATENATE("R10C",'Mapa final'!$O$57),"")</f>
        <v/>
      </c>
      <c r="AN35" s="74"/>
      <c r="AO35" s="368"/>
      <c r="AP35" s="369"/>
      <c r="AQ35" s="369"/>
      <c r="AR35" s="369"/>
      <c r="AS35" s="369"/>
      <c r="AT35" s="370"/>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row>
    <row r="36" spans="1:80" ht="15" customHeight="1" x14ac:dyDescent="0.25">
      <c r="A36" s="74"/>
      <c r="B36" s="237"/>
      <c r="C36" s="237"/>
      <c r="D36" s="238"/>
      <c r="E36" s="332" t="s">
        <v>112</v>
      </c>
      <c r="F36" s="333"/>
      <c r="G36" s="333"/>
      <c r="H36" s="333"/>
      <c r="I36" s="333"/>
      <c r="J36" s="64" t="e">
        <f>IF(AND('Mapa final'!#REF!="Baja",'Mapa final'!#REF!="Leve"),CONCATENATE("R1C",'Mapa final'!#REF!),"")</f>
        <v>#REF!</v>
      </c>
      <c r="K36" s="65" t="e">
        <f>IF(AND('Mapa final'!#REF!="Baja",'Mapa final'!#REF!="Leve"),CONCATENATE("R1C",'Mapa final'!#REF!),"")</f>
        <v>#REF!</v>
      </c>
      <c r="L36" s="65" t="e">
        <f>IF(AND('Mapa final'!#REF!="Baja",'Mapa final'!#REF!="Leve"),CONCATENATE("R1C",'Mapa final'!#REF!),"")</f>
        <v>#REF!</v>
      </c>
      <c r="M36" s="65" t="e">
        <f>IF(AND('Mapa final'!#REF!="Baja",'Mapa final'!#REF!="Leve"),CONCATENATE("R1C",'Mapa final'!#REF!),"")</f>
        <v>#REF!</v>
      </c>
      <c r="N36" s="65" t="e">
        <f>IF(AND('Mapa final'!#REF!="Baja",'Mapa final'!#REF!="Leve"),CONCATENATE("R1C",'Mapa final'!#REF!),"")</f>
        <v>#REF!</v>
      </c>
      <c r="O36" s="66" t="e">
        <f>IF(AND('Mapa final'!#REF!="Baja",'Mapa final'!#REF!="Leve"),CONCATENATE("R1C",'Mapa final'!#REF!),"")</f>
        <v>#REF!</v>
      </c>
      <c r="P36" s="55" t="e">
        <f>IF(AND('Mapa final'!#REF!="Baja",'Mapa final'!#REF!="Menor"),CONCATENATE("R1C",'Mapa final'!#REF!),"")</f>
        <v>#REF!</v>
      </c>
      <c r="Q36" s="56" t="e">
        <f>IF(AND('Mapa final'!#REF!="Baja",'Mapa final'!#REF!="Menor"),CONCATENATE("R1C",'Mapa final'!#REF!),"")</f>
        <v>#REF!</v>
      </c>
      <c r="R36" s="56" t="e">
        <f>IF(AND('Mapa final'!#REF!="Baja",'Mapa final'!#REF!="Menor"),CONCATENATE("R1C",'Mapa final'!#REF!),"")</f>
        <v>#REF!</v>
      </c>
      <c r="S36" s="56" t="e">
        <f>IF(AND('Mapa final'!#REF!="Baja",'Mapa final'!#REF!="Menor"),CONCATENATE("R1C",'Mapa final'!#REF!),"")</f>
        <v>#REF!</v>
      </c>
      <c r="T36" s="56" t="e">
        <f>IF(AND('Mapa final'!#REF!="Baja",'Mapa final'!#REF!="Menor"),CONCATENATE("R1C",'Mapa final'!#REF!),"")</f>
        <v>#REF!</v>
      </c>
      <c r="U36" s="57" t="e">
        <f>IF(AND('Mapa final'!#REF!="Baja",'Mapa final'!#REF!="Menor"),CONCATENATE("R1C",'Mapa final'!#REF!),"")</f>
        <v>#REF!</v>
      </c>
      <c r="V36" s="55" t="e">
        <f>IF(AND('Mapa final'!#REF!="Baja",'Mapa final'!#REF!="Moderado"),CONCATENATE("R1C",'Mapa final'!#REF!),"")</f>
        <v>#REF!</v>
      </c>
      <c r="W36" s="56" t="e">
        <f>IF(AND('Mapa final'!#REF!="Baja",'Mapa final'!#REF!="Moderado"),CONCATENATE("R1C",'Mapa final'!#REF!),"")</f>
        <v>#REF!</v>
      </c>
      <c r="X36" s="56" t="e">
        <f>IF(AND('Mapa final'!#REF!="Baja",'Mapa final'!#REF!="Moderado"),CONCATENATE("R1C",'Mapa final'!#REF!),"")</f>
        <v>#REF!</v>
      </c>
      <c r="Y36" s="56" t="e">
        <f>IF(AND('Mapa final'!#REF!="Baja",'Mapa final'!#REF!="Moderado"),CONCATENATE("R1C",'Mapa final'!#REF!),"")</f>
        <v>#REF!</v>
      </c>
      <c r="Z36" s="56" t="e">
        <f>IF(AND('Mapa final'!#REF!="Baja",'Mapa final'!#REF!="Moderado"),CONCATENATE("R1C",'Mapa final'!#REF!),"")</f>
        <v>#REF!</v>
      </c>
      <c r="AA36" s="57" t="e">
        <f>IF(AND('Mapa final'!#REF!="Baja",'Mapa final'!#REF!="Moderado"),CONCATENATE("R1C",'Mapa final'!#REF!),"")</f>
        <v>#REF!</v>
      </c>
      <c r="AB36" s="37" t="e">
        <f>IF(AND('Mapa final'!#REF!="Baja",'Mapa final'!#REF!="Mayor"),CONCATENATE("R1C",'Mapa final'!#REF!),"")</f>
        <v>#REF!</v>
      </c>
      <c r="AC36" s="38" t="e">
        <f>IF(AND('Mapa final'!#REF!="Baja",'Mapa final'!#REF!="Mayor"),CONCATENATE("R1C",'Mapa final'!#REF!),"")</f>
        <v>#REF!</v>
      </c>
      <c r="AD36" s="38" t="e">
        <f>IF(AND('Mapa final'!#REF!="Baja",'Mapa final'!#REF!="Mayor"),CONCATENATE("R1C",'Mapa final'!#REF!),"")</f>
        <v>#REF!</v>
      </c>
      <c r="AE36" s="38" t="e">
        <f>IF(AND('Mapa final'!#REF!="Baja",'Mapa final'!#REF!="Mayor"),CONCATENATE("R1C",'Mapa final'!#REF!),"")</f>
        <v>#REF!</v>
      </c>
      <c r="AF36" s="38" t="e">
        <f>IF(AND('Mapa final'!#REF!="Baja",'Mapa final'!#REF!="Mayor"),CONCATENATE("R1C",'Mapa final'!#REF!),"")</f>
        <v>#REF!</v>
      </c>
      <c r="AG36" s="39" t="e">
        <f>IF(AND('Mapa final'!#REF!="Baja",'Mapa final'!#REF!="Mayor"),CONCATENATE("R1C",'Mapa final'!#REF!),"")</f>
        <v>#REF!</v>
      </c>
      <c r="AH36" s="40" t="e">
        <f>IF(AND('Mapa final'!#REF!="Baja",'Mapa final'!#REF!="Catastrófico"),CONCATENATE("R1C",'Mapa final'!#REF!),"")</f>
        <v>#REF!</v>
      </c>
      <c r="AI36" s="41" t="e">
        <f>IF(AND('Mapa final'!#REF!="Baja",'Mapa final'!#REF!="Catastrófico"),CONCATENATE("R1C",'Mapa final'!#REF!),"")</f>
        <v>#REF!</v>
      </c>
      <c r="AJ36" s="41" t="e">
        <f>IF(AND('Mapa final'!#REF!="Baja",'Mapa final'!#REF!="Catastrófico"),CONCATENATE("R1C",'Mapa final'!#REF!),"")</f>
        <v>#REF!</v>
      </c>
      <c r="AK36" s="41" t="e">
        <f>IF(AND('Mapa final'!#REF!="Baja",'Mapa final'!#REF!="Catastrófico"),CONCATENATE("R1C",'Mapa final'!#REF!),"")</f>
        <v>#REF!</v>
      </c>
      <c r="AL36" s="41" t="e">
        <f>IF(AND('Mapa final'!#REF!="Baja",'Mapa final'!#REF!="Catastrófico"),CONCATENATE("R1C",'Mapa final'!#REF!),"")</f>
        <v>#REF!</v>
      </c>
      <c r="AM36" s="42" t="e">
        <f>IF(AND('Mapa final'!#REF!="Baja",'Mapa final'!#REF!="Catastrófico"),CONCATENATE("R1C",'Mapa final'!#REF!),"")</f>
        <v>#REF!</v>
      </c>
      <c r="AN36" s="74"/>
      <c r="AO36" s="353" t="s">
        <v>82</v>
      </c>
      <c r="AP36" s="354"/>
      <c r="AQ36" s="354"/>
      <c r="AR36" s="354"/>
      <c r="AS36" s="354"/>
      <c r="AT36" s="355"/>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row>
    <row r="37" spans="1:80" ht="15" customHeight="1" x14ac:dyDescent="0.25">
      <c r="A37" s="74"/>
      <c r="B37" s="237"/>
      <c r="C37" s="237"/>
      <c r="D37" s="238"/>
      <c r="E37" s="334"/>
      <c r="F37" s="335"/>
      <c r="G37" s="335"/>
      <c r="H37" s="335"/>
      <c r="I37" s="335"/>
      <c r="J37" s="67" t="e">
        <f>IF(AND('Mapa final'!#REF!="Baja",'Mapa final'!#REF!="Leve"),CONCATENATE("R2C",'Mapa final'!#REF!),"")</f>
        <v>#REF!</v>
      </c>
      <c r="K37" s="68" t="e">
        <f>IF(AND('Mapa final'!#REF!="Baja",'Mapa final'!#REF!="Leve"),CONCATENATE("R2C",'Mapa final'!#REF!),"")</f>
        <v>#REF!</v>
      </c>
      <c r="L37" s="68" t="e">
        <f>IF(AND('Mapa final'!#REF!="Baja",'Mapa final'!#REF!="Leve"),CONCATENATE("R2C",'Mapa final'!#REF!),"")</f>
        <v>#REF!</v>
      </c>
      <c r="M37" s="68" t="e">
        <f>IF(AND('Mapa final'!#REF!="Baja",'Mapa final'!#REF!="Leve"),CONCATENATE("R2C",'Mapa final'!#REF!),"")</f>
        <v>#REF!</v>
      </c>
      <c r="N37" s="68" t="e">
        <f>IF(AND('Mapa final'!#REF!="Baja",'Mapa final'!#REF!="Leve"),CONCATENATE("R2C",'Mapa final'!#REF!),"")</f>
        <v>#REF!</v>
      </c>
      <c r="O37" s="69" t="e">
        <f>IF(AND('Mapa final'!#REF!="Baja",'Mapa final'!#REF!="Leve"),CONCATENATE("R2C",'Mapa final'!#REF!),"")</f>
        <v>#REF!</v>
      </c>
      <c r="P37" s="58" t="e">
        <f>IF(AND('Mapa final'!#REF!="Baja",'Mapa final'!#REF!="Menor"),CONCATENATE("R2C",'Mapa final'!#REF!),"")</f>
        <v>#REF!</v>
      </c>
      <c r="Q37" s="59" t="e">
        <f>IF(AND('Mapa final'!#REF!="Baja",'Mapa final'!#REF!="Menor"),CONCATENATE("R2C",'Mapa final'!#REF!),"")</f>
        <v>#REF!</v>
      </c>
      <c r="R37" s="59" t="e">
        <f>IF(AND('Mapa final'!#REF!="Baja",'Mapa final'!#REF!="Menor"),CONCATENATE("R2C",'Mapa final'!#REF!),"")</f>
        <v>#REF!</v>
      </c>
      <c r="S37" s="59" t="e">
        <f>IF(AND('Mapa final'!#REF!="Baja",'Mapa final'!#REF!="Menor"),CONCATENATE("R2C",'Mapa final'!#REF!),"")</f>
        <v>#REF!</v>
      </c>
      <c r="T37" s="59" t="e">
        <f>IF(AND('Mapa final'!#REF!="Baja",'Mapa final'!#REF!="Menor"),CONCATENATE("R2C",'Mapa final'!#REF!),"")</f>
        <v>#REF!</v>
      </c>
      <c r="U37" s="60" t="e">
        <f>IF(AND('Mapa final'!#REF!="Baja",'Mapa final'!#REF!="Menor"),CONCATENATE("R2C",'Mapa final'!#REF!),"")</f>
        <v>#REF!</v>
      </c>
      <c r="V37" s="58" t="e">
        <f>IF(AND('Mapa final'!#REF!="Baja",'Mapa final'!#REF!="Moderado"),CONCATENATE("R2C",'Mapa final'!#REF!),"")</f>
        <v>#REF!</v>
      </c>
      <c r="W37" s="59" t="e">
        <f>IF(AND('Mapa final'!#REF!="Baja",'Mapa final'!#REF!="Moderado"),CONCATENATE("R2C",'Mapa final'!#REF!),"")</f>
        <v>#REF!</v>
      </c>
      <c r="X37" s="59" t="e">
        <f>IF(AND('Mapa final'!#REF!="Baja",'Mapa final'!#REF!="Moderado"),CONCATENATE("R2C",'Mapa final'!#REF!),"")</f>
        <v>#REF!</v>
      </c>
      <c r="Y37" s="59" t="e">
        <f>IF(AND('Mapa final'!#REF!="Baja",'Mapa final'!#REF!="Moderado"),CONCATENATE("R2C",'Mapa final'!#REF!),"")</f>
        <v>#REF!</v>
      </c>
      <c r="Z37" s="59" t="e">
        <f>IF(AND('Mapa final'!#REF!="Baja",'Mapa final'!#REF!="Moderado"),CONCATENATE("R2C",'Mapa final'!#REF!),"")</f>
        <v>#REF!</v>
      </c>
      <c r="AA37" s="60" t="e">
        <f>IF(AND('Mapa final'!#REF!="Baja",'Mapa final'!#REF!="Moderado"),CONCATENATE("R2C",'Mapa final'!#REF!),"")</f>
        <v>#REF!</v>
      </c>
      <c r="AB37" s="43" t="e">
        <f>IF(AND('Mapa final'!#REF!="Baja",'Mapa final'!#REF!="Mayor"),CONCATENATE("R2C",'Mapa final'!#REF!),"")</f>
        <v>#REF!</v>
      </c>
      <c r="AC37" s="44" t="e">
        <f>IF(AND('Mapa final'!#REF!="Baja",'Mapa final'!#REF!="Mayor"),CONCATENATE("R2C",'Mapa final'!#REF!),"")</f>
        <v>#REF!</v>
      </c>
      <c r="AD37" s="44" t="e">
        <f>IF(AND('Mapa final'!#REF!="Baja",'Mapa final'!#REF!="Mayor"),CONCATENATE("R2C",'Mapa final'!#REF!),"")</f>
        <v>#REF!</v>
      </c>
      <c r="AE37" s="44" t="e">
        <f>IF(AND('Mapa final'!#REF!="Baja",'Mapa final'!#REF!="Mayor"),CONCATENATE("R2C",'Mapa final'!#REF!),"")</f>
        <v>#REF!</v>
      </c>
      <c r="AF37" s="44" t="e">
        <f>IF(AND('Mapa final'!#REF!="Baja",'Mapa final'!#REF!="Mayor"),CONCATENATE("R2C",'Mapa final'!#REF!),"")</f>
        <v>#REF!</v>
      </c>
      <c r="AG37" s="45" t="e">
        <f>IF(AND('Mapa final'!#REF!="Baja",'Mapa final'!#REF!="Mayor"),CONCATENATE("R2C",'Mapa final'!#REF!),"")</f>
        <v>#REF!</v>
      </c>
      <c r="AH37" s="46" t="e">
        <f>IF(AND('Mapa final'!#REF!="Baja",'Mapa final'!#REF!="Catastrófico"),CONCATENATE("R2C",'Mapa final'!#REF!),"")</f>
        <v>#REF!</v>
      </c>
      <c r="AI37" s="47" t="e">
        <f>IF(AND('Mapa final'!#REF!="Baja",'Mapa final'!#REF!="Catastrófico"),CONCATENATE("R2C",'Mapa final'!#REF!),"")</f>
        <v>#REF!</v>
      </c>
      <c r="AJ37" s="47" t="e">
        <f>IF(AND('Mapa final'!#REF!="Baja",'Mapa final'!#REF!="Catastrófico"),CONCATENATE("R2C",'Mapa final'!#REF!),"")</f>
        <v>#REF!</v>
      </c>
      <c r="AK37" s="47" t="e">
        <f>IF(AND('Mapa final'!#REF!="Baja",'Mapa final'!#REF!="Catastrófico"),CONCATENATE("R2C",'Mapa final'!#REF!),"")</f>
        <v>#REF!</v>
      </c>
      <c r="AL37" s="47" t="e">
        <f>IF(AND('Mapa final'!#REF!="Baja",'Mapa final'!#REF!="Catastrófico"),CONCATENATE("R2C",'Mapa final'!#REF!),"")</f>
        <v>#REF!</v>
      </c>
      <c r="AM37" s="48" t="e">
        <f>IF(AND('Mapa final'!#REF!="Baja",'Mapa final'!#REF!="Catastrófico"),CONCATENATE("R2C",'Mapa final'!#REF!),"")</f>
        <v>#REF!</v>
      </c>
      <c r="AN37" s="74"/>
      <c r="AO37" s="356"/>
      <c r="AP37" s="357"/>
      <c r="AQ37" s="357"/>
      <c r="AR37" s="357"/>
      <c r="AS37" s="357"/>
      <c r="AT37" s="358"/>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row>
    <row r="38" spans="1:80" ht="15" customHeight="1" x14ac:dyDescent="0.25">
      <c r="A38" s="74"/>
      <c r="B38" s="237"/>
      <c r="C38" s="237"/>
      <c r="D38" s="238"/>
      <c r="E38" s="336"/>
      <c r="F38" s="335"/>
      <c r="G38" s="335"/>
      <c r="H38" s="335"/>
      <c r="I38" s="335"/>
      <c r="J38" s="67" t="str">
        <f ca="1">IF(AND('Mapa final'!$Y$10="Baja",'Mapa final'!$AA$10="Leve"),CONCATENATE("R3C",'Mapa final'!$O$10),"")</f>
        <v/>
      </c>
      <c r="K38" s="68" t="str">
        <f>IF(AND('Mapa final'!$Y$11="Baja",'Mapa final'!$AA$11="Leve"),CONCATENATE("R3C",'Mapa final'!$O$11),"")</f>
        <v/>
      </c>
      <c r="L38" s="68" t="str">
        <f>IF(AND('Mapa final'!$Y$12="Baja",'Mapa final'!$AA$12="Leve"),CONCATENATE("R3C",'Mapa final'!$O$12),"")</f>
        <v/>
      </c>
      <c r="M38" s="68" t="str">
        <f>IF(AND('Mapa final'!$Y$13="Baja",'Mapa final'!$AA$13="Leve"),CONCATENATE("R3C",'Mapa final'!$O$13),"")</f>
        <v/>
      </c>
      <c r="N38" s="68" t="str">
        <f>IF(AND('Mapa final'!$Y$14="Baja",'Mapa final'!$AA$14="Leve"),CONCATENATE("R3C",'Mapa final'!$O$14),"")</f>
        <v/>
      </c>
      <c r="O38" s="69" t="str">
        <f>IF(AND('Mapa final'!$Y$15="Baja",'Mapa final'!$AA$15="Leve"),CONCATENATE("R3C",'Mapa final'!$O$15),"")</f>
        <v/>
      </c>
      <c r="P38" s="58" t="str">
        <f ca="1">IF(AND('Mapa final'!$Y$10="Baja",'Mapa final'!$AA$10="Menor"),CONCATENATE("R3C",'Mapa final'!$O$10),"")</f>
        <v/>
      </c>
      <c r="Q38" s="59" t="str">
        <f>IF(AND('Mapa final'!$Y$11="Baja",'Mapa final'!$AA$11="Menor"),CONCATENATE("R3C",'Mapa final'!$O$11),"")</f>
        <v/>
      </c>
      <c r="R38" s="59" t="str">
        <f>IF(AND('Mapa final'!$Y$12="Baja",'Mapa final'!$AA$12="Menor"),CONCATENATE("R3C",'Mapa final'!$O$12),"")</f>
        <v/>
      </c>
      <c r="S38" s="59" t="str">
        <f>IF(AND('Mapa final'!$Y$13="Baja",'Mapa final'!$AA$13="Menor"),CONCATENATE("R3C",'Mapa final'!$O$13),"")</f>
        <v/>
      </c>
      <c r="T38" s="59" t="str">
        <f>IF(AND('Mapa final'!$Y$14="Baja",'Mapa final'!$AA$14="Menor"),CONCATENATE("R3C",'Mapa final'!$O$14),"")</f>
        <v/>
      </c>
      <c r="U38" s="60" t="str">
        <f>IF(AND('Mapa final'!$Y$15="Baja",'Mapa final'!$AA$15="Menor"),CONCATENATE("R3C",'Mapa final'!$O$15),"")</f>
        <v/>
      </c>
      <c r="V38" s="58" t="str">
        <f ca="1">IF(AND('Mapa final'!$Y$10="Baja",'Mapa final'!$AA$10="Moderado"),CONCATENATE("R3C",'Mapa final'!$O$10),"")</f>
        <v/>
      </c>
      <c r="W38" s="59" t="str">
        <f>IF(AND('Mapa final'!$Y$11="Baja",'Mapa final'!$AA$11="Moderado"),CONCATENATE("R3C",'Mapa final'!$O$11),"")</f>
        <v/>
      </c>
      <c r="X38" s="59" t="str">
        <f>IF(AND('Mapa final'!$Y$12="Baja",'Mapa final'!$AA$12="Moderado"),CONCATENATE("R3C",'Mapa final'!$O$12),"")</f>
        <v/>
      </c>
      <c r="Y38" s="59" t="str">
        <f>IF(AND('Mapa final'!$Y$13="Baja",'Mapa final'!$AA$13="Moderado"),CONCATENATE("R3C",'Mapa final'!$O$13),"")</f>
        <v/>
      </c>
      <c r="Z38" s="59" t="str">
        <f>IF(AND('Mapa final'!$Y$14="Baja",'Mapa final'!$AA$14="Moderado"),CONCATENATE("R3C",'Mapa final'!$O$14),"")</f>
        <v/>
      </c>
      <c r="AA38" s="60" t="str">
        <f>IF(AND('Mapa final'!$Y$15="Baja",'Mapa final'!$AA$15="Moderado"),CONCATENATE("R3C",'Mapa final'!$O$15),"")</f>
        <v/>
      </c>
      <c r="AB38" s="43" t="str">
        <f ca="1">IF(AND('Mapa final'!$Y$10="Baja",'Mapa final'!$AA$10="Mayor"),CONCATENATE("R3C",'Mapa final'!$O$10),"")</f>
        <v/>
      </c>
      <c r="AC38" s="44" t="str">
        <f>IF(AND('Mapa final'!$Y$11="Baja",'Mapa final'!$AA$11="Mayor"),CONCATENATE("R3C",'Mapa final'!$O$11),"")</f>
        <v/>
      </c>
      <c r="AD38" s="44" t="str">
        <f>IF(AND('Mapa final'!$Y$12="Baja",'Mapa final'!$AA$12="Mayor"),CONCATENATE("R3C",'Mapa final'!$O$12),"")</f>
        <v/>
      </c>
      <c r="AE38" s="44" t="str">
        <f>IF(AND('Mapa final'!$Y$13="Baja",'Mapa final'!$AA$13="Mayor"),CONCATENATE("R3C",'Mapa final'!$O$13),"")</f>
        <v/>
      </c>
      <c r="AF38" s="44" t="str">
        <f>IF(AND('Mapa final'!$Y$14="Baja",'Mapa final'!$AA$14="Mayor"),CONCATENATE("R3C",'Mapa final'!$O$14),"")</f>
        <v/>
      </c>
      <c r="AG38" s="45" t="str">
        <f>IF(AND('Mapa final'!$Y$15="Baja",'Mapa final'!$AA$15="Mayor"),CONCATENATE("R3C",'Mapa final'!$O$15),"")</f>
        <v/>
      </c>
      <c r="AH38" s="46" t="str">
        <f ca="1">IF(AND('Mapa final'!$Y$10="Baja",'Mapa final'!$AA$10="Catastrófico"),CONCATENATE("R3C",'Mapa final'!$O$10),"")</f>
        <v/>
      </c>
      <c r="AI38" s="47" t="str">
        <f>IF(AND('Mapa final'!$Y$11="Baja",'Mapa final'!$AA$11="Catastrófico"),CONCATENATE("R3C",'Mapa final'!$O$11),"")</f>
        <v/>
      </c>
      <c r="AJ38" s="47" t="str">
        <f>IF(AND('Mapa final'!$Y$12="Baja",'Mapa final'!$AA$12="Catastrófico"),CONCATENATE("R3C",'Mapa final'!$O$12),"")</f>
        <v/>
      </c>
      <c r="AK38" s="47" t="str">
        <f>IF(AND('Mapa final'!$Y$13="Baja",'Mapa final'!$AA$13="Catastrófico"),CONCATENATE("R3C",'Mapa final'!$O$13),"")</f>
        <v/>
      </c>
      <c r="AL38" s="47" t="str">
        <f>IF(AND('Mapa final'!$Y$14="Baja",'Mapa final'!$AA$14="Catastrófico"),CONCATENATE("R3C",'Mapa final'!$O$14),"")</f>
        <v/>
      </c>
      <c r="AM38" s="48" t="str">
        <f>IF(AND('Mapa final'!$Y$15="Baja",'Mapa final'!$AA$15="Catastrófico"),CONCATENATE("R3C",'Mapa final'!$O$15),"")</f>
        <v/>
      </c>
      <c r="AN38" s="74"/>
      <c r="AO38" s="356"/>
      <c r="AP38" s="357"/>
      <c r="AQ38" s="357"/>
      <c r="AR38" s="357"/>
      <c r="AS38" s="357"/>
      <c r="AT38" s="358"/>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row>
    <row r="39" spans="1:80" ht="15" customHeight="1" x14ac:dyDescent="0.25">
      <c r="A39" s="74"/>
      <c r="B39" s="237"/>
      <c r="C39" s="237"/>
      <c r="D39" s="238"/>
      <c r="E39" s="336"/>
      <c r="F39" s="335"/>
      <c r="G39" s="335"/>
      <c r="H39" s="335"/>
      <c r="I39" s="335"/>
      <c r="J39" s="67" t="e">
        <f>IF(AND('Mapa final'!#REF!="Baja",'Mapa final'!#REF!="Leve"),CONCATENATE("R4C",'Mapa final'!#REF!),"")</f>
        <v>#REF!</v>
      </c>
      <c r="K39" s="68" t="e">
        <f>IF(AND('Mapa final'!#REF!="Baja",'Mapa final'!#REF!="Leve"),CONCATENATE("R4C",'Mapa final'!#REF!),"")</f>
        <v>#REF!</v>
      </c>
      <c r="L39" s="68" t="e">
        <f>IF(AND('Mapa final'!#REF!="Baja",'Mapa final'!#REF!="Leve"),CONCATENATE("R4C",'Mapa final'!#REF!),"")</f>
        <v>#REF!</v>
      </c>
      <c r="M39" s="68" t="e">
        <f>IF(AND('Mapa final'!#REF!="Baja",'Mapa final'!#REF!="Leve"),CONCATENATE("R4C",'Mapa final'!#REF!),"")</f>
        <v>#REF!</v>
      </c>
      <c r="N39" s="68" t="e">
        <f>IF(AND('Mapa final'!#REF!="Baja",'Mapa final'!#REF!="Leve"),CONCATENATE("R4C",'Mapa final'!#REF!),"")</f>
        <v>#REF!</v>
      </c>
      <c r="O39" s="69" t="e">
        <f>IF(AND('Mapa final'!#REF!="Baja",'Mapa final'!#REF!="Leve"),CONCATENATE("R4C",'Mapa final'!#REF!),"")</f>
        <v>#REF!</v>
      </c>
      <c r="P39" s="58" t="e">
        <f>IF(AND('Mapa final'!#REF!="Baja",'Mapa final'!#REF!="Menor"),CONCATENATE("R4C",'Mapa final'!#REF!),"")</f>
        <v>#REF!</v>
      </c>
      <c r="Q39" s="59" t="e">
        <f>IF(AND('Mapa final'!#REF!="Baja",'Mapa final'!#REF!="Menor"),CONCATENATE("R4C",'Mapa final'!#REF!),"")</f>
        <v>#REF!</v>
      </c>
      <c r="R39" s="59" t="e">
        <f>IF(AND('Mapa final'!#REF!="Baja",'Mapa final'!#REF!="Menor"),CONCATENATE("R4C",'Mapa final'!#REF!),"")</f>
        <v>#REF!</v>
      </c>
      <c r="S39" s="59" t="e">
        <f>IF(AND('Mapa final'!#REF!="Baja",'Mapa final'!#REF!="Menor"),CONCATENATE("R4C",'Mapa final'!#REF!),"")</f>
        <v>#REF!</v>
      </c>
      <c r="T39" s="59" t="e">
        <f>IF(AND('Mapa final'!#REF!="Baja",'Mapa final'!#REF!="Menor"),CONCATENATE("R4C",'Mapa final'!#REF!),"")</f>
        <v>#REF!</v>
      </c>
      <c r="U39" s="60" t="e">
        <f>IF(AND('Mapa final'!#REF!="Baja",'Mapa final'!#REF!="Menor"),CONCATENATE("R4C",'Mapa final'!#REF!),"")</f>
        <v>#REF!</v>
      </c>
      <c r="V39" s="58" t="e">
        <f>IF(AND('Mapa final'!#REF!="Baja",'Mapa final'!#REF!="Moderado"),CONCATENATE("R4C",'Mapa final'!#REF!),"")</f>
        <v>#REF!</v>
      </c>
      <c r="W39" s="59" t="e">
        <f>IF(AND('Mapa final'!#REF!="Baja",'Mapa final'!#REF!="Moderado"),CONCATENATE("R4C",'Mapa final'!#REF!),"")</f>
        <v>#REF!</v>
      </c>
      <c r="X39" s="59" t="e">
        <f>IF(AND('Mapa final'!#REF!="Baja",'Mapa final'!#REF!="Moderado"),CONCATENATE("R4C",'Mapa final'!#REF!),"")</f>
        <v>#REF!</v>
      </c>
      <c r="Y39" s="59" t="e">
        <f>IF(AND('Mapa final'!#REF!="Baja",'Mapa final'!#REF!="Moderado"),CONCATENATE("R4C",'Mapa final'!#REF!),"")</f>
        <v>#REF!</v>
      </c>
      <c r="Z39" s="59" t="e">
        <f>IF(AND('Mapa final'!#REF!="Baja",'Mapa final'!#REF!="Moderado"),CONCATENATE("R4C",'Mapa final'!#REF!),"")</f>
        <v>#REF!</v>
      </c>
      <c r="AA39" s="60" t="e">
        <f>IF(AND('Mapa final'!#REF!="Baja",'Mapa final'!#REF!="Moderado"),CONCATENATE("R4C",'Mapa final'!#REF!),"")</f>
        <v>#REF!</v>
      </c>
      <c r="AB39" s="43" t="e">
        <f>IF(AND('Mapa final'!#REF!="Baja",'Mapa final'!#REF!="Mayor"),CONCATENATE("R4C",'Mapa final'!#REF!),"")</f>
        <v>#REF!</v>
      </c>
      <c r="AC39" s="44" t="e">
        <f>IF(AND('Mapa final'!#REF!="Baja",'Mapa final'!#REF!="Mayor"),CONCATENATE("R4C",'Mapa final'!#REF!),"")</f>
        <v>#REF!</v>
      </c>
      <c r="AD39" s="44" t="e">
        <f>IF(AND('Mapa final'!#REF!="Baja",'Mapa final'!#REF!="Mayor"),CONCATENATE("R4C",'Mapa final'!#REF!),"")</f>
        <v>#REF!</v>
      </c>
      <c r="AE39" s="44" t="e">
        <f>IF(AND('Mapa final'!#REF!="Baja",'Mapa final'!#REF!="Mayor"),CONCATENATE("R4C",'Mapa final'!#REF!),"")</f>
        <v>#REF!</v>
      </c>
      <c r="AF39" s="44" t="e">
        <f>IF(AND('Mapa final'!#REF!="Baja",'Mapa final'!#REF!="Mayor"),CONCATENATE("R4C",'Mapa final'!#REF!),"")</f>
        <v>#REF!</v>
      </c>
      <c r="AG39" s="45" t="e">
        <f>IF(AND('Mapa final'!#REF!="Baja",'Mapa final'!#REF!="Mayor"),CONCATENATE("R4C",'Mapa final'!#REF!),"")</f>
        <v>#REF!</v>
      </c>
      <c r="AH39" s="46" t="e">
        <f>IF(AND('Mapa final'!#REF!="Baja",'Mapa final'!#REF!="Catastrófico"),CONCATENATE("R4C",'Mapa final'!#REF!),"")</f>
        <v>#REF!</v>
      </c>
      <c r="AI39" s="47" t="e">
        <f>IF(AND('Mapa final'!#REF!="Baja",'Mapa final'!#REF!="Catastrófico"),CONCATENATE("R4C",'Mapa final'!#REF!),"")</f>
        <v>#REF!</v>
      </c>
      <c r="AJ39" s="47" t="e">
        <f>IF(AND('Mapa final'!#REF!="Baja",'Mapa final'!#REF!="Catastrófico"),CONCATENATE("R4C",'Mapa final'!#REF!),"")</f>
        <v>#REF!</v>
      </c>
      <c r="AK39" s="47" t="e">
        <f>IF(AND('Mapa final'!#REF!="Baja",'Mapa final'!#REF!="Catastrófico"),CONCATENATE("R4C",'Mapa final'!#REF!),"")</f>
        <v>#REF!</v>
      </c>
      <c r="AL39" s="47" t="e">
        <f>IF(AND('Mapa final'!#REF!="Baja",'Mapa final'!#REF!="Catastrófico"),CONCATENATE("R4C",'Mapa final'!#REF!),"")</f>
        <v>#REF!</v>
      </c>
      <c r="AM39" s="48" t="e">
        <f>IF(AND('Mapa final'!#REF!="Baja",'Mapa final'!#REF!="Catastrófico"),CONCATENATE("R4C",'Mapa final'!#REF!),"")</f>
        <v>#REF!</v>
      </c>
      <c r="AN39" s="74"/>
      <c r="AO39" s="356"/>
      <c r="AP39" s="357"/>
      <c r="AQ39" s="357"/>
      <c r="AR39" s="357"/>
      <c r="AS39" s="357"/>
      <c r="AT39" s="358"/>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row>
    <row r="40" spans="1:80" ht="15" customHeight="1" x14ac:dyDescent="0.25">
      <c r="A40" s="74"/>
      <c r="B40" s="237"/>
      <c r="C40" s="237"/>
      <c r="D40" s="238"/>
      <c r="E40" s="336"/>
      <c r="F40" s="335"/>
      <c r="G40" s="335"/>
      <c r="H40" s="335"/>
      <c r="I40" s="335"/>
      <c r="J40" s="67" t="str">
        <f ca="1">IF(AND('Mapa final'!$Y$16="Baja",'Mapa final'!$AA$16="Leve"),CONCATENATE("R5C",'Mapa final'!$O$16),"")</f>
        <v/>
      </c>
      <c r="K40" s="68" t="str">
        <f>IF(AND('Mapa final'!$Y$17="Baja",'Mapa final'!$AA$17="Leve"),CONCATENATE("R5C",'Mapa final'!$O$17),"")</f>
        <v/>
      </c>
      <c r="L40" s="68" t="str">
        <f>IF(AND('Mapa final'!$Y$18="Baja",'Mapa final'!$AA$18="Leve"),CONCATENATE("R5C",'Mapa final'!$O$18),"")</f>
        <v/>
      </c>
      <c r="M40" s="68" t="str">
        <f>IF(AND('Mapa final'!$Y$19="Baja",'Mapa final'!$AA$19="Leve"),CONCATENATE("R5C",'Mapa final'!$O$19),"")</f>
        <v/>
      </c>
      <c r="N40" s="68" t="str">
        <f>IF(AND('Mapa final'!$Y$20="Baja",'Mapa final'!$AA$20="Leve"),CONCATENATE("R5C",'Mapa final'!$O$20),"")</f>
        <v/>
      </c>
      <c r="O40" s="69" t="str">
        <f>IF(AND('Mapa final'!$Y$21="Baja",'Mapa final'!$AA$21="Leve"),CONCATENATE("R5C",'Mapa final'!$O$21),"")</f>
        <v/>
      </c>
      <c r="P40" s="58" t="str">
        <f ca="1">IF(AND('Mapa final'!$Y$16="Baja",'Mapa final'!$AA$16="Menor"),CONCATENATE("R5C",'Mapa final'!$O$16),"")</f>
        <v/>
      </c>
      <c r="Q40" s="59" t="str">
        <f>IF(AND('Mapa final'!$Y$17="Baja",'Mapa final'!$AA$17="Menor"),CONCATENATE("R5C",'Mapa final'!$O$17),"")</f>
        <v/>
      </c>
      <c r="R40" s="59" t="str">
        <f>IF(AND('Mapa final'!$Y$18="Baja",'Mapa final'!$AA$18="Menor"),CONCATENATE("R5C",'Mapa final'!$O$18),"")</f>
        <v/>
      </c>
      <c r="S40" s="59" t="str">
        <f>IF(AND('Mapa final'!$Y$19="Baja",'Mapa final'!$AA$19="Menor"),CONCATENATE("R5C",'Mapa final'!$O$19),"")</f>
        <v/>
      </c>
      <c r="T40" s="59" t="str">
        <f>IF(AND('Mapa final'!$Y$20="Baja",'Mapa final'!$AA$20="Menor"),CONCATENATE("R5C",'Mapa final'!$O$20),"")</f>
        <v/>
      </c>
      <c r="U40" s="60" t="str">
        <f>IF(AND('Mapa final'!$Y$21="Baja",'Mapa final'!$AA$21="Menor"),CONCATENATE("R5C",'Mapa final'!$O$21),"")</f>
        <v/>
      </c>
      <c r="V40" s="58" t="str">
        <f ca="1">IF(AND('Mapa final'!$Y$16="Baja",'Mapa final'!$AA$16="Moderado"),CONCATENATE("R5C",'Mapa final'!$O$16),"")</f>
        <v/>
      </c>
      <c r="W40" s="59" t="str">
        <f>IF(AND('Mapa final'!$Y$17="Baja",'Mapa final'!$AA$17="Moderado"),CONCATENATE("R5C",'Mapa final'!$O$17),"")</f>
        <v/>
      </c>
      <c r="X40" s="59" t="str">
        <f>IF(AND('Mapa final'!$Y$18="Baja",'Mapa final'!$AA$18="Moderado"),CONCATENATE("R5C",'Mapa final'!$O$18),"")</f>
        <v/>
      </c>
      <c r="Y40" s="59" t="str">
        <f>IF(AND('Mapa final'!$Y$19="Baja",'Mapa final'!$AA$19="Moderado"),CONCATENATE("R5C",'Mapa final'!$O$19),"")</f>
        <v/>
      </c>
      <c r="Z40" s="59" t="str">
        <f>IF(AND('Mapa final'!$Y$20="Baja",'Mapa final'!$AA$20="Moderado"),CONCATENATE("R5C",'Mapa final'!$O$20),"")</f>
        <v/>
      </c>
      <c r="AA40" s="60" t="str">
        <f>IF(AND('Mapa final'!$Y$21="Baja",'Mapa final'!$AA$21="Moderado"),CONCATENATE("R5C",'Mapa final'!$O$21),"")</f>
        <v/>
      </c>
      <c r="AB40" s="43" t="str">
        <f ca="1">IF(AND('Mapa final'!$Y$16="Baja",'Mapa final'!$AA$16="Mayor"),CONCATENATE("R5C",'Mapa final'!$O$16),"")</f>
        <v/>
      </c>
      <c r="AC40" s="44" t="str">
        <f>IF(AND('Mapa final'!$Y$17="Baja",'Mapa final'!$AA$17="Mayor"),CONCATENATE("R5C",'Mapa final'!$O$17),"")</f>
        <v/>
      </c>
      <c r="AD40" s="44" t="str">
        <f>IF(AND('Mapa final'!$Y$18="Baja",'Mapa final'!$AA$18="Mayor"),CONCATENATE("R5C",'Mapa final'!$O$18),"")</f>
        <v/>
      </c>
      <c r="AE40" s="44" t="str">
        <f>IF(AND('Mapa final'!$Y$19="Baja",'Mapa final'!$AA$19="Mayor"),CONCATENATE("R5C",'Mapa final'!$O$19),"")</f>
        <v/>
      </c>
      <c r="AF40" s="44" t="str">
        <f>IF(AND('Mapa final'!$Y$20="Baja",'Mapa final'!$AA$20="Mayor"),CONCATENATE("R5C",'Mapa final'!$O$20),"")</f>
        <v/>
      </c>
      <c r="AG40" s="45" t="str">
        <f>IF(AND('Mapa final'!$Y$21="Baja",'Mapa final'!$AA$21="Mayor"),CONCATENATE("R5C",'Mapa final'!$O$21),"")</f>
        <v/>
      </c>
      <c r="AH40" s="46" t="str">
        <f ca="1">IF(AND('Mapa final'!$Y$16="Baja",'Mapa final'!$AA$16="Catastrófico"),CONCATENATE("R5C",'Mapa final'!$O$16),"")</f>
        <v/>
      </c>
      <c r="AI40" s="47" t="str">
        <f>IF(AND('Mapa final'!$Y$17="Baja",'Mapa final'!$AA$17="Catastrófico"),CONCATENATE("R5C",'Mapa final'!$O$17),"")</f>
        <v/>
      </c>
      <c r="AJ40" s="47" t="str">
        <f>IF(AND('Mapa final'!$Y$18="Baja",'Mapa final'!$AA$18="Catastrófico"),CONCATENATE("R5C",'Mapa final'!$O$18),"")</f>
        <v/>
      </c>
      <c r="AK40" s="47" t="str">
        <f>IF(AND('Mapa final'!$Y$19="Baja",'Mapa final'!$AA$19="Catastrófico"),CONCATENATE("R5C",'Mapa final'!$O$19),"")</f>
        <v/>
      </c>
      <c r="AL40" s="47" t="str">
        <f>IF(AND('Mapa final'!$Y$20="Baja",'Mapa final'!$AA$20="Catastrófico"),CONCATENATE("R5C",'Mapa final'!$O$20),"")</f>
        <v/>
      </c>
      <c r="AM40" s="48" t="str">
        <f>IF(AND('Mapa final'!$Y$21="Baja",'Mapa final'!$AA$21="Catastrófico"),CONCATENATE("R5C",'Mapa final'!$O$21),"")</f>
        <v/>
      </c>
      <c r="AN40" s="74"/>
      <c r="AO40" s="356"/>
      <c r="AP40" s="357"/>
      <c r="AQ40" s="357"/>
      <c r="AR40" s="357"/>
      <c r="AS40" s="357"/>
      <c r="AT40" s="358"/>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row>
    <row r="41" spans="1:80" ht="15" customHeight="1" x14ac:dyDescent="0.25">
      <c r="A41" s="74"/>
      <c r="B41" s="237"/>
      <c r="C41" s="237"/>
      <c r="D41" s="238"/>
      <c r="E41" s="336"/>
      <c r="F41" s="335"/>
      <c r="G41" s="335"/>
      <c r="H41" s="335"/>
      <c r="I41" s="335"/>
      <c r="J41" s="67" t="str">
        <f ca="1">IF(AND('Mapa final'!$Y$28="Baja",'Mapa final'!$AA$28="Leve"),CONCATENATE("R6C",'Mapa final'!$O$28),"")</f>
        <v/>
      </c>
      <c r="K41" s="68" t="str">
        <f ca="1">IF(AND('Mapa final'!$Y$29="Baja",'Mapa final'!$AA$29="Leve"),CONCATENATE("R6C",'Mapa final'!$O$29),"")</f>
        <v/>
      </c>
      <c r="L41" s="68" t="str">
        <f>IF(AND('Mapa final'!$Y$30="Baja",'Mapa final'!$AA$30="Leve"),CONCATENATE("R6C",'Mapa final'!$O$30),"")</f>
        <v/>
      </c>
      <c r="M41" s="68" t="str">
        <f>IF(AND('Mapa final'!$Y$31="Baja",'Mapa final'!$AA$31="Leve"),CONCATENATE("R6C",'Mapa final'!$O$31),"")</f>
        <v/>
      </c>
      <c r="N41" s="68" t="str">
        <f>IF(AND('Mapa final'!$Y$32="Baja",'Mapa final'!$AA$32="Leve"),CONCATENATE("R6C",'Mapa final'!$O$32),"")</f>
        <v/>
      </c>
      <c r="O41" s="69" t="str">
        <f>IF(AND('Mapa final'!$Y$33="Baja",'Mapa final'!$AA$33="Leve"),CONCATENATE("R6C",'Mapa final'!$O$33),"")</f>
        <v/>
      </c>
      <c r="P41" s="58" t="str">
        <f ca="1">IF(AND('Mapa final'!$Y$28="Baja",'Mapa final'!$AA$28="Menor"),CONCATENATE("R6C",'Mapa final'!$O$28),"")</f>
        <v/>
      </c>
      <c r="Q41" s="59" t="str">
        <f ca="1">IF(AND('Mapa final'!$Y$29="Baja",'Mapa final'!$AA$29="Menor"),CONCATENATE("R6C",'Mapa final'!$O$29),"")</f>
        <v/>
      </c>
      <c r="R41" s="59" t="str">
        <f>IF(AND('Mapa final'!$Y$30="Baja",'Mapa final'!$AA$30="Menor"),CONCATENATE("R6C",'Mapa final'!$O$30),"")</f>
        <v/>
      </c>
      <c r="S41" s="59" t="str">
        <f>IF(AND('Mapa final'!$Y$31="Baja",'Mapa final'!$AA$31="Menor"),CONCATENATE("R6C",'Mapa final'!$O$31),"")</f>
        <v/>
      </c>
      <c r="T41" s="59" t="str">
        <f>IF(AND('Mapa final'!$Y$32="Baja",'Mapa final'!$AA$32="Menor"),CONCATENATE("R6C",'Mapa final'!$O$32),"")</f>
        <v/>
      </c>
      <c r="U41" s="60" t="str">
        <f>IF(AND('Mapa final'!$Y$33="Baja",'Mapa final'!$AA$33="Menor"),CONCATENATE("R6C",'Mapa final'!$O$33),"")</f>
        <v/>
      </c>
      <c r="V41" s="58" t="str">
        <f ca="1">IF(AND('Mapa final'!$Y$28="Baja",'Mapa final'!$AA$28="Moderado"),CONCATENATE("R6C",'Mapa final'!$O$28),"")</f>
        <v/>
      </c>
      <c r="W41" s="59" t="str">
        <f ca="1">IF(AND('Mapa final'!$Y$29="Baja",'Mapa final'!$AA$29="Moderado"),CONCATENATE("R6C",'Mapa final'!$O$29),"")</f>
        <v>R6C2</v>
      </c>
      <c r="X41" s="59" t="str">
        <f>IF(AND('Mapa final'!$Y$30="Baja",'Mapa final'!$AA$30="Moderado"),CONCATENATE("R6C",'Mapa final'!$O$30),"")</f>
        <v/>
      </c>
      <c r="Y41" s="59" t="str">
        <f>IF(AND('Mapa final'!$Y$31="Baja",'Mapa final'!$AA$31="Moderado"),CONCATENATE("R6C",'Mapa final'!$O$31),"")</f>
        <v/>
      </c>
      <c r="Z41" s="59" t="str">
        <f>IF(AND('Mapa final'!$Y$32="Baja",'Mapa final'!$AA$32="Moderado"),CONCATENATE("R6C",'Mapa final'!$O$32),"")</f>
        <v/>
      </c>
      <c r="AA41" s="60" t="str">
        <f>IF(AND('Mapa final'!$Y$33="Baja",'Mapa final'!$AA$33="Moderado"),CONCATENATE("R6C",'Mapa final'!$O$33),"")</f>
        <v/>
      </c>
      <c r="AB41" s="43" t="str">
        <f ca="1">IF(AND('Mapa final'!$Y$28="Baja",'Mapa final'!$AA$28="Mayor"),CONCATENATE("R6C",'Mapa final'!$O$28),"")</f>
        <v/>
      </c>
      <c r="AC41" s="44" t="str">
        <f ca="1">IF(AND('Mapa final'!$Y$29="Baja",'Mapa final'!$AA$29="Mayor"),CONCATENATE("R6C",'Mapa final'!$O$29),"")</f>
        <v/>
      </c>
      <c r="AD41" s="44" t="str">
        <f>IF(AND('Mapa final'!$Y$30="Baja",'Mapa final'!$AA$30="Mayor"),CONCATENATE("R6C",'Mapa final'!$O$30),"")</f>
        <v/>
      </c>
      <c r="AE41" s="44" t="str">
        <f>IF(AND('Mapa final'!$Y$31="Baja",'Mapa final'!$AA$31="Mayor"),CONCATENATE("R6C",'Mapa final'!$O$31),"")</f>
        <v/>
      </c>
      <c r="AF41" s="44" t="str">
        <f>IF(AND('Mapa final'!$Y$32="Baja",'Mapa final'!$AA$32="Mayor"),CONCATENATE("R6C",'Mapa final'!$O$32),"")</f>
        <v/>
      </c>
      <c r="AG41" s="45" t="str">
        <f>IF(AND('Mapa final'!$Y$33="Baja",'Mapa final'!$AA$33="Mayor"),CONCATENATE("R6C",'Mapa final'!$O$33),"")</f>
        <v/>
      </c>
      <c r="AH41" s="46" t="str">
        <f ca="1">IF(AND('Mapa final'!$Y$28="Baja",'Mapa final'!$AA$28="Catastrófico"),CONCATENATE("R6C",'Mapa final'!$O$28),"")</f>
        <v/>
      </c>
      <c r="AI41" s="47" t="str">
        <f ca="1">IF(AND('Mapa final'!$Y$29="Baja",'Mapa final'!$AA$29="Catastrófico"),CONCATENATE("R6C",'Mapa final'!$O$29),"")</f>
        <v/>
      </c>
      <c r="AJ41" s="47" t="str">
        <f>IF(AND('Mapa final'!$Y$30="Baja",'Mapa final'!$AA$30="Catastrófico"),CONCATENATE("R6C",'Mapa final'!$O$30),"")</f>
        <v/>
      </c>
      <c r="AK41" s="47" t="str">
        <f>IF(AND('Mapa final'!$Y$31="Baja",'Mapa final'!$AA$31="Catastrófico"),CONCATENATE("R6C",'Mapa final'!$O$31),"")</f>
        <v/>
      </c>
      <c r="AL41" s="47" t="str">
        <f>IF(AND('Mapa final'!$Y$32="Baja",'Mapa final'!$AA$32="Catastrófico"),CONCATENATE("R6C",'Mapa final'!$O$32),"")</f>
        <v/>
      </c>
      <c r="AM41" s="48" t="str">
        <f>IF(AND('Mapa final'!$Y$33="Baja",'Mapa final'!$AA$33="Catastrófico"),CONCATENATE("R6C",'Mapa final'!$O$33),"")</f>
        <v/>
      </c>
      <c r="AN41" s="74"/>
      <c r="AO41" s="356"/>
      <c r="AP41" s="357"/>
      <c r="AQ41" s="357"/>
      <c r="AR41" s="357"/>
      <c r="AS41" s="357"/>
      <c r="AT41" s="358"/>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row>
    <row r="42" spans="1:80" ht="15" customHeight="1" x14ac:dyDescent="0.25">
      <c r="A42" s="74"/>
      <c r="B42" s="237"/>
      <c r="C42" s="237"/>
      <c r="D42" s="238"/>
      <c r="E42" s="336"/>
      <c r="F42" s="335"/>
      <c r="G42" s="335"/>
      <c r="H42" s="335"/>
      <c r="I42" s="335"/>
      <c r="J42" s="67" t="str">
        <f ca="1">IF(AND('Mapa final'!$Y$34="Baja",'Mapa final'!$AA$34="Leve"),CONCATENATE("R7C",'Mapa final'!$O$34),"")</f>
        <v/>
      </c>
      <c r="K42" s="68" t="str">
        <f ca="1">IF(AND('Mapa final'!$Y$35="Baja",'Mapa final'!$AA$35="Leve"),CONCATENATE("R7C",'Mapa final'!$O$35),"")</f>
        <v/>
      </c>
      <c r="L42" s="68" t="str">
        <f>IF(AND('Mapa final'!$Y$36="Baja",'Mapa final'!$AA$36="Leve"),CONCATENATE("R7C",'Mapa final'!$O$36),"")</f>
        <v/>
      </c>
      <c r="M42" s="68" t="str">
        <f>IF(AND('Mapa final'!$Y$37="Baja",'Mapa final'!$AA$37="Leve"),CONCATENATE("R7C",'Mapa final'!$O$37),"")</f>
        <v/>
      </c>
      <c r="N42" s="68" t="str">
        <f>IF(AND('Mapa final'!$Y$38="Baja",'Mapa final'!$AA$38="Leve"),CONCATENATE("R7C",'Mapa final'!$O$38),"")</f>
        <v/>
      </c>
      <c r="O42" s="69" t="str">
        <f>IF(AND('Mapa final'!$Y$39="Baja",'Mapa final'!$AA$39="Leve"),CONCATENATE("R7C",'Mapa final'!$O$39),"")</f>
        <v/>
      </c>
      <c r="P42" s="58" t="str">
        <f ca="1">IF(AND('Mapa final'!$Y$34="Baja",'Mapa final'!$AA$34="Menor"),CONCATENATE("R7C",'Mapa final'!$O$34),"")</f>
        <v/>
      </c>
      <c r="Q42" s="59" t="str">
        <f ca="1">IF(AND('Mapa final'!$Y$35="Baja",'Mapa final'!$AA$35="Menor"),CONCATENATE("R7C",'Mapa final'!$O$35),"")</f>
        <v/>
      </c>
      <c r="R42" s="59" t="str">
        <f>IF(AND('Mapa final'!$Y$36="Baja",'Mapa final'!$AA$36="Menor"),CONCATENATE("R7C",'Mapa final'!$O$36),"")</f>
        <v/>
      </c>
      <c r="S42" s="59" t="str">
        <f>IF(AND('Mapa final'!$Y$37="Baja",'Mapa final'!$AA$37="Menor"),CONCATENATE("R7C",'Mapa final'!$O$37),"")</f>
        <v/>
      </c>
      <c r="T42" s="59" t="str">
        <f>IF(AND('Mapa final'!$Y$38="Baja",'Mapa final'!$AA$38="Menor"),CONCATENATE("R7C",'Mapa final'!$O$38),"")</f>
        <v/>
      </c>
      <c r="U42" s="60" t="str">
        <f>IF(AND('Mapa final'!$Y$39="Baja",'Mapa final'!$AA$39="Menor"),CONCATENATE("R7C",'Mapa final'!$O$39),"")</f>
        <v/>
      </c>
      <c r="V42" s="58" t="str">
        <f ca="1">IF(AND('Mapa final'!$Y$34="Baja",'Mapa final'!$AA$34="Moderado"),CONCATENATE("R7C",'Mapa final'!$O$34),"")</f>
        <v/>
      </c>
      <c r="W42" s="59" t="str">
        <f ca="1">IF(AND('Mapa final'!$Y$35="Baja",'Mapa final'!$AA$35="Moderado"),CONCATENATE("R7C",'Mapa final'!$O$35),"")</f>
        <v/>
      </c>
      <c r="X42" s="59" t="str">
        <f>IF(AND('Mapa final'!$Y$36="Baja",'Mapa final'!$AA$36="Moderado"),CONCATENATE("R7C",'Mapa final'!$O$36),"")</f>
        <v/>
      </c>
      <c r="Y42" s="59" t="str">
        <f>IF(AND('Mapa final'!$Y$37="Baja",'Mapa final'!$AA$37="Moderado"),CONCATENATE("R7C",'Mapa final'!$O$37),"")</f>
        <v/>
      </c>
      <c r="Z42" s="59" t="str">
        <f>IF(AND('Mapa final'!$Y$38="Baja",'Mapa final'!$AA$38="Moderado"),CONCATENATE("R7C",'Mapa final'!$O$38),"")</f>
        <v/>
      </c>
      <c r="AA42" s="60" t="str">
        <f>IF(AND('Mapa final'!$Y$39="Baja",'Mapa final'!$AA$39="Moderado"),CONCATENATE("R7C",'Mapa final'!$O$39),"")</f>
        <v/>
      </c>
      <c r="AB42" s="43" t="str">
        <f ca="1">IF(AND('Mapa final'!$Y$34="Baja",'Mapa final'!$AA$34="Mayor"),CONCATENATE("R7C",'Mapa final'!$O$34),"")</f>
        <v/>
      </c>
      <c r="AC42" s="44" t="str">
        <f ca="1">IF(AND('Mapa final'!$Y$35="Baja",'Mapa final'!$AA$35="Mayor"),CONCATENATE("R7C",'Mapa final'!$O$35),"")</f>
        <v/>
      </c>
      <c r="AD42" s="44" t="str">
        <f>IF(AND('Mapa final'!$Y$36="Baja",'Mapa final'!$AA$36="Mayor"),CONCATENATE("R7C",'Mapa final'!$O$36),"")</f>
        <v/>
      </c>
      <c r="AE42" s="44" t="str">
        <f>IF(AND('Mapa final'!$Y$37="Baja",'Mapa final'!$AA$37="Mayor"),CONCATENATE("R7C",'Mapa final'!$O$37),"")</f>
        <v/>
      </c>
      <c r="AF42" s="44" t="str">
        <f>IF(AND('Mapa final'!$Y$38="Baja",'Mapa final'!$AA$38="Mayor"),CONCATENATE("R7C",'Mapa final'!$O$38),"")</f>
        <v/>
      </c>
      <c r="AG42" s="45" t="str">
        <f>IF(AND('Mapa final'!$Y$39="Baja",'Mapa final'!$AA$39="Mayor"),CONCATENATE("R7C",'Mapa final'!$O$39),"")</f>
        <v/>
      </c>
      <c r="AH42" s="46" t="str">
        <f ca="1">IF(AND('Mapa final'!$Y$34="Baja",'Mapa final'!$AA$34="Catastrófico"),CONCATENATE("R7C",'Mapa final'!$O$34),"")</f>
        <v/>
      </c>
      <c r="AI42" s="47" t="str">
        <f ca="1">IF(AND('Mapa final'!$Y$35="Baja",'Mapa final'!$AA$35="Catastrófico"),CONCATENATE("R7C",'Mapa final'!$O$35),"")</f>
        <v/>
      </c>
      <c r="AJ42" s="47" t="str">
        <f>IF(AND('Mapa final'!$Y$36="Baja",'Mapa final'!$AA$36="Catastrófico"),CONCATENATE("R7C",'Mapa final'!$O$36),"")</f>
        <v/>
      </c>
      <c r="AK42" s="47" t="str">
        <f>IF(AND('Mapa final'!$Y$37="Baja",'Mapa final'!$AA$37="Catastrófico"),CONCATENATE("R7C",'Mapa final'!$O$37),"")</f>
        <v/>
      </c>
      <c r="AL42" s="47" t="str">
        <f>IF(AND('Mapa final'!$Y$38="Baja",'Mapa final'!$AA$38="Catastrófico"),CONCATENATE("R7C",'Mapa final'!$O$38),"")</f>
        <v/>
      </c>
      <c r="AM42" s="48" t="str">
        <f>IF(AND('Mapa final'!$Y$39="Baja",'Mapa final'!$AA$39="Catastrófico"),CONCATENATE("R7C",'Mapa final'!$O$39),"")</f>
        <v/>
      </c>
      <c r="AN42" s="74"/>
      <c r="AO42" s="356"/>
      <c r="AP42" s="357"/>
      <c r="AQ42" s="357"/>
      <c r="AR42" s="357"/>
      <c r="AS42" s="357"/>
      <c r="AT42" s="358"/>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row>
    <row r="43" spans="1:80" ht="15" customHeight="1" x14ac:dyDescent="0.25">
      <c r="A43" s="74"/>
      <c r="B43" s="237"/>
      <c r="C43" s="237"/>
      <c r="D43" s="238"/>
      <c r="E43" s="336"/>
      <c r="F43" s="335"/>
      <c r="G43" s="335"/>
      <c r="H43" s="335"/>
      <c r="I43" s="335"/>
      <c r="J43" s="67" t="str">
        <f ca="1">IF(AND('Mapa final'!$Y$40="Baja",'Mapa final'!$AA$40="Leve"),CONCATENATE("R8C",'Mapa final'!$O$40),"")</f>
        <v/>
      </c>
      <c r="K43" s="68" t="str">
        <f>IF(AND('Mapa final'!$Y$41="Baja",'Mapa final'!$AA$41="Leve"),CONCATENATE("R8C",'Mapa final'!$O$41),"")</f>
        <v/>
      </c>
      <c r="L43" s="68" t="str">
        <f>IF(AND('Mapa final'!$Y$42="Baja",'Mapa final'!$AA$42="Leve"),CONCATENATE("R8C",'Mapa final'!$O$42),"")</f>
        <v/>
      </c>
      <c r="M43" s="68" t="str">
        <f>IF(AND('Mapa final'!$Y$43="Baja",'Mapa final'!$AA$43="Leve"),CONCATENATE("R8C",'Mapa final'!$O$43),"")</f>
        <v/>
      </c>
      <c r="N43" s="68" t="str">
        <f>IF(AND('Mapa final'!$Y$44="Baja",'Mapa final'!$AA$44="Leve"),CONCATENATE("R8C",'Mapa final'!$O$44),"")</f>
        <v/>
      </c>
      <c r="O43" s="69" t="str">
        <f>IF(AND('Mapa final'!$Y$45="Baja",'Mapa final'!$AA$45="Leve"),CONCATENATE("R8C",'Mapa final'!$O$45),"")</f>
        <v/>
      </c>
      <c r="P43" s="58" t="str">
        <f ca="1">IF(AND('Mapa final'!$Y$40="Baja",'Mapa final'!$AA$40="Menor"),CONCATENATE("R8C",'Mapa final'!$O$40),"")</f>
        <v/>
      </c>
      <c r="Q43" s="59" t="str">
        <f>IF(AND('Mapa final'!$Y$41="Baja",'Mapa final'!$AA$41="Menor"),CONCATENATE("R8C",'Mapa final'!$O$41),"")</f>
        <v/>
      </c>
      <c r="R43" s="59" t="str">
        <f>IF(AND('Mapa final'!$Y$42="Baja",'Mapa final'!$AA$42="Menor"),CONCATENATE("R8C",'Mapa final'!$O$42),"")</f>
        <v/>
      </c>
      <c r="S43" s="59" t="str">
        <f>IF(AND('Mapa final'!$Y$43="Baja",'Mapa final'!$AA$43="Menor"),CONCATENATE("R8C",'Mapa final'!$O$43),"")</f>
        <v/>
      </c>
      <c r="T43" s="59" t="str">
        <f>IF(AND('Mapa final'!$Y$44="Baja",'Mapa final'!$AA$44="Menor"),CONCATENATE("R8C",'Mapa final'!$O$44),"")</f>
        <v/>
      </c>
      <c r="U43" s="60" t="str">
        <f>IF(AND('Mapa final'!$Y$45="Baja",'Mapa final'!$AA$45="Menor"),CONCATENATE("R8C",'Mapa final'!$O$45),"")</f>
        <v/>
      </c>
      <c r="V43" s="58" t="str">
        <f ca="1">IF(AND('Mapa final'!$Y$40="Baja",'Mapa final'!$AA$40="Moderado"),CONCATENATE("R8C",'Mapa final'!$O$40),"")</f>
        <v/>
      </c>
      <c r="W43" s="59" t="str">
        <f>IF(AND('Mapa final'!$Y$41="Baja",'Mapa final'!$AA$41="Moderado"),CONCATENATE("R8C",'Mapa final'!$O$41),"")</f>
        <v/>
      </c>
      <c r="X43" s="59" t="str">
        <f>IF(AND('Mapa final'!$Y$42="Baja",'Mapa final'!$AA$42="Moderado"),CONCATENATE("R8C",'Mapa final'!$O$42),"")</f>
        <v/>
      </c>
      <c r="Y43" s="59" t="str">
        <f>IF(AND('Mapa final'!$Y$43="Baja",'Mapa final'!$AA$43="Moderado"),CONCATENATE("R8C",'Mapa final'!$O$43),"")</f>
        <v/>
      </c>
      <c r="Z43" s="59" t="str">
        <f>IF(AND('Mapa final'!$Y$44="Baja",'Mapa final'!$AA$44="Moderado"),CONCATENATE("R8C",'Mapa final'!$O$44),"")</f>
        <v/>
      </c>
      <c r="AA43" s="60" t="str">
        <f>IF(AND('Mapa final'!$Y$45="Baja",'Mapa final'!$AA$45="Moderado"),CONCATENATE("R8C",'Mapa final'!$O$45),"")</f>
        <v/>
      </c>
      <c r="AB43" s="43" t="str">
        <f ca="1">IF(AND('Mapa final'!$Y$40="Baja",'Mapa final'!$AA$40="Mayor"),CONCATENATE("R8C",'Mapa final'!$O$40),"")</f>
        <v>R8C1</v>
      </c>
      <c r="AC43" s="44" t="str">
        <f>IF(AND('Mapa final'!$Y$41="Baja",'Mapa final'!$AA$41="Mayor"),CONCATENATE("R8C",'Mapa final'!$O$41),"")</f>
        <v/>
      </c>
      <c r="AD43" s="44" t="str">
        <f>IF(AND('Mapa final'!$Y$42="Baja",'Mapa final'!$AA$42="Mayor"),CONCATENATE("R8C",'Mapa final'!$O$42),"")</f>
        <v/>
      </c>
      <c r="AE43" s="44" t="str">
        <f>IF(AND('Mapa final'!$Y$43="Baja",'Mapa final'!$AA$43="Mayor"),CONCATENATE("R8C",'Mapa final'!$O$43),"")</f>
        <v/>
      </c>
      <c r="AF43" s="44" t="str">
        <f>IF(AND('Mapa final'!$Y$44="Baja",'Mapa final'!$AA$44="Mayor"),CONCATENATE("R8C",'Mapa final'!$O$44),"")</f>
        <v/>
      </c>
      <c r="AG43" s="45" t="str">
        <f>IF(AND('Mapa final'!$Y$45="Baja",'Mapa final'!$AA$45="Mayor"),CONCATENATE("R8C",'Mapa final'!$O$45),"")</f>
        <v/>
      </c>
      <c r="AH43" s="46" t="str">
        <f ca="1">IF(AND('Mapa final'!$Y$40="Baja",'Mapa final'!$AA$40="Catastrófico"),CONCATENATE("R8C",'Mapa final'!$O$40),"")</f>
        <v/>
      </c>
      <c r="AI43" s="47" t="str">
        <f>IF(AND('Mapa final'!$Y$41="Baja",'Mapa final'!$AA$41="Catastrófico"),CONCATENATE("R8C",'Mapa final'!$O$41),"")</f>
        <v/>
      </c>
      <c r="AJ43" s="47" t="str">
        <f>IF(AND('Mapa final'!$Y$42="Baja",'Mapa final'!$AA$42="Catastrófico"),CONCATENATE("R8C",'Mapa final'!$O$42),"")</f>
        <v/>
      </c>
      <c r="AK43" s="47" t="str">
        <f>IF(AND('Mapa final'!$Y$43="Baja",'Mapa final'!$AA$43="Catastrófico"),CONCATENATE("R8C",'Mapa final'!$O$43),"")</f>
        <v/>
      </c>
      <c r="AL43" s="47" t="str">
        <f>IF(AND('Mapa final'!$Y$44="Baja",'Mapa final'!$AA$44="Catastrófico"),CONCATENATE("R8C",'Mapa final'!$O$44),"")</f>
        <v/>
      </c>
      <c r="AM43" s="48" t="str">
        <f>IF(AND('Mapa final'!$Y$45="Baja",'Mapa final'!$AA$45="Catastrófico"),CONCATENATE("R8C",'Mapa final'!$O$45),"")</f>
        <v/>
      </c>
      <c r="AN43" s="74"/>
      <c r="AO43" s="356"/>
      <c r="AP43" s="357"/>
      <c r="AQ43" s="357"/>
      <c r="AR43" s="357"/>
      <c r="AS43" s="357"/>
      <c r="AT43" s="358"/>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row>
    <row r="44" spans="1:80" ht="15" customHeight="1" x14ac:dyDescent="0.25">
      <c r="A44" s="74"/>
      <c r="B44" s="237"/>
      <c r="C44" s="237"/>
      <c r="D44" s="238"/>
      <c r="E44" s="336"/>
      <c r="F44" s="335"/>
      <c r="G44" s="335"/>
      <c r="H44" s="335"/>
      <c r="I44" s="335"/>
      <c r="J44" s="67" t="str">
        <f ca="1">IF(AND('Mapa final'!$Y$46="Baja",'Mapa final'!$AA$46="Leve"),CONCATENATE("R9C",'Mapa final'!$O$46),"")</f>
        <v/>
      </c>
      <c r="K44" s="68" t="str">
        <f ca="1">IF(AND('Mapa final'!$Y$47="Baja",'Mapa final'!$AA$47="Leve"),CONCATENATE("R9C",'Mapa final'!$O$47),"")</f>
        <v/>
      </c>
      <c r="L44" s="68" t="str">
        <f>IF(AND('Mapa final'!$Y$48="Baja",'Mapa final'!$AA$48="Leve"),CONCATENATE("R9C",'Mapa final'!$O$48),"")</f>
        <v/>
      </c>
      <c r="M44" s="68" t="str">
        <f>IF(AND('Mapa final'!$Y$49="Baja",'Mapa final'!$AA$49="Leve"),CONCATENATE("R9C",'Mapa final'!$O$49),"")</f>
        <v/>
      </c>
      <c r="N44" s="68" t="str">
        <f>IF(AND('Mapa final'!$Y$50="Baja",'Mapa final'!$AA$50="Leve"),CONCATENATE("R9C",'Mapa final'!$O$50),"")</f>
        <v/>
      </c>
      <c r="O44" s="69" t="str">
        <f>IF(AND('Mapa final'!$Y$51="Baja",'Mapa final'!$AA$51="Leve"),CONCATENATE("R9C",'Mapa final'!$O$51),"")</f>
        <v/>
      </c>
      <c r="P44" s="58" t="str">
        <f ca="1">IF(AND('Mapa final'!$Y$46="Baja",'Mapa final'!$AA$46="Menor"),CONCATENATE("R9C",'Mapa final'!$O$46),"")</f>
        <v/>
      </c>
      <c r="Q44" s="59" t="str">
        <f ca="1">IF(AND('Mapa final'!$Y$47="Baja",'Mapa final'!$AA$47="Menor"),CONCATENATE("R9C",'Mapa final'!$O$47),"")</f>
        <v/>
      </c>
      <c r="R44" s="59" t="str">
        <f>IF(AND('Mapa final'!$Y$48="Baja",'Mapa final'!$AA$48="Menor"),CONCATENATE("R9C",'Mapa final'!$O$48),"")</f>
        <v/>
      </c>
      <c r="S44" s="59" t="str">
        <f>IF(AND('Mapa final'!$Y$49="Baja",'Mapa final'!$AA$49="Menor"),CONCATENATE("R9C",'Mapa final'!$O$49),"")</f>
        <v/>
      </c>
      <c r="T44" s="59" t="str">
        <f>IF(AND('Mapa final'!$Y$50="Baja",'Mapa final'!$AA$50="Menor"),CONCATENATE("R9C",'Mapa final'!$O$50),"")</f>
        <v/>
      </c>
      <c r="U44" s="60" t="str">
        <f>IF(AND('Mapa final'!$Y$51="Baja",'Mapa final'!$AA$51="Menor"),CONCATENATE("R9C",'Mapa final'!$O$51),"")</f>
        <v/>
      </c>
      <c r="V44" s="58" t="str">
        <f ca="1">IF(AND('Mapa final'!$Y$46="Baja",'Mapa final'!$AA$46="Moderado"),CONCATENATE("R9C",'Mapa final'!$O$46),"")</f>
        <v>R9C1</v>
      </c>
      <c r="W44" s="59" t="str">
        <f ca="1">IF(AND('Mapa final'!$Y$47="Baja",'Mapa final'!$AA$47="Moderado"),CONCATENATE("R9C",'Mapa final'!$O$47),"")</f>
        <v/>
      </c>
      <c r="X44" s="59" t="str">
        <f>IF(AND('Mapa final'!$Y$48="Baja",'Mapa final'!$AA$48="Moderado"),CONCATENATE("R9C",'Mapa final'!$O$48),"")</f>
        <v/>
      </c>
      <c r="Y44" s="59" t="str">
        <f>IF(AND('Mapa final'!$Y$49="Baja",'Mapa final'!$AA$49="Moderado"),CONCATENATE("R9C",'Mapa final'!$O$49),"")</f>
        <v/>
      </c>
      <c r="Z44" s="59" t="str">
        <f>IF(AND('Mapa final'!$Y$50="Baja",'Mapa final'!$AA$50="Moderado"),CONCATENATE("R9C",'Mapa final'!$O$50),"")</f>
        <v/>
      </c>
      <c r="AA44" s="60" t="str">
        <f>IF(AND('Mapa final'!$Y$51="Baja",'Mapa final'!$AA$51="Moderado"),CONCATENATE("R9C",'Mapa final'!$O$51),"")</f>
        <v/>
      </c>
      <c r="AB44" s="43" t="str">
        <f ca="1">IF(AND('Mapa final'!$Y$46="Baja",'Mapa final'!$AA$46="Mayor"),CONCATENATE("R9C",'Mapa final'!$O$46),"")</f>
        <v/>
      </c>
      <c r="AC44" s="44" t="str">
        <f ca="1">IF(AND('Mapa final'!$Y$47="Baja",'Mapa final'!$AA$47="Mayor"),CONCATENATE("R9C",'Mapa final'!$O$47),"")</f>
        <v>R9C2</v>
      </c>
      <c r="AD44" s="44" t="str">
        <f>IF(AND('Mapa final'!$Y$48="Baja",'Mapa final'!$AA$48="Mayor"),CONCATENATE("R9C",'Mapa final'!$O$48),"")</f>
        <v/>
      </c>
      <c r="AE44" s="44" t="str">
        <f>IF(AND('Mapa final'!$Y$49="Baja",'Mapa final'!$AA$49="Mayor"),CONCATENATE("R9C",'Mapa final'!$O$49),"")</f>
        <v/>
      </c>
      <c r="AF44" s="44" t="str">
        <f>IF(AND('Mapa final'!$Y$50="Baja",'Mapa final'!$AA$50="Mayor"),CONCATENATE("R9C",'Mapa final'!$O$50),"")</f>
        <v/>
      </c>
      <c r="AG44" s="45" t="str">
        <f>IF(AND('Mapa final'!$Y$51="Baja",'Mapa final'!$AA$51="Mayor"),CONCATENATE("R9C",'Mapa final'!$O$51),"")</f>
        <v/>
      </c>
      <c r="AH44" s="46" t="str">
        <f ca="1">IF(AND('Mapa final'!$Y$46="Baja",'Mapa final'!$AA$46="Catastrófico"),CONCATENATE("R9C",'Mapa final'!$O$46),"")</f>
        <v/>
      </c>
      <c r="AI44" s="47" t="str">
        <f ca="1">IF(AND('Mapa final'!$Y$47="Baja",'Mapa final'!$AA$47="Catastrófico"),CONCATENATE("R9C",'Mapa final'!$O$47),"")</f>
        <v/>
      </c>
      <c r="AJ44" s="47" t="str">
        <f>IF(AND('Mapa final'!$Y$48="Baja",'Mapa final'!$AA$48="Catastrófico"),CONCATENATE("R9C",'Mapa final'!$O$48),"")</f>
        <v/>
      </c>
      <c r="AK44" s="47" t="str">
        <f>IF(AND('Mapa final'!$Y$49="Baja",'Mapa final'!$AA$49="Catastrófico"),CONCATENATE("R9C",'Mapa final'!$O$49),"")</f>
        <v/>
      </c>
      <c r="AL44" s="47" t="str">
        <f>IF(AND('Mapa final'!$Y$50="Baja",'Mapa final'!$AA$50="Catastrófico"),CONCATENATE("R9C",'Mapa final'!$O$50),"")</f>
        <v/>
      </c>
      <c r="AM44" s="48" t="str">
        <f>IF(AND('Mapa final'!$Y$51="Baja",'Mapa final'!$AA$51="Catastrófico"),CONCATENATE("R9C",'Mapa final'!$O$51),"")</f>
        <v/>
      </c>
      <c r="AN44" s="74"/>
      <c r="AO44" s="356"/>
      <c r="AP44" s="357"/>
      <c r="AQ44" s="357"/>
      <c r="AR44" s="357"/>
      <c r="AS44" s="357"/>
      <c r="AT44" s="358"/>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row>
    <row r="45" spans="1:80" ht="15.75" customHeight="1" thickBot="1" x14ac:dyDescent="0.3">
      <c r="A45" s="74"/>
      <c r="B45" s="237"/>
      <c r="C45" s="237"/>
      <c r="D45" s="238"/>
      <c r="E45" s="337"/>
      <c r="F45" s="338"/>
      <c r="G45" s="338"/>
      <c r="H45" s="338"/>
      <c r="I45" s="338"/>
      <c r="J45" s="70" t="str">
        <f>IF(AND('Mapa final'!$Y$52="Baja",'Mapa final'!$AA$52="Leve"),CONCATENATE("R10C",'Mapa final'!$O$52),"")</f>
        <v/>
      </c>
      <c r="K45" s="71" t="str">
        <f>IF(AND('Mapa final'!$Y$53="Baja",'Mapa final'!$AA$53="Leve"),CONCATENATE("R10C",'Mapa final'!$O$53),"")</f>
        <v/>
      </c>
      <c r="L45" s="71" t="str">
        <f>IF(AND('Mapa final'!$Y$54="Baja",'Mapa final'!$AA$54="Leve"),CONCATENATE("R10C",'Mapa final'!$O$54),"")</f>
        <v/>
      </c>
      <c r="M45" s="71" t="str">
        <f>IF(AND('Mapa final'!$Y$55="Baja",'Mapa final'!$AA$55="Leve"),CONCATENATE("R10C",'Mapa final'!$O$55),"")</f>
        <v/>
      </c>
      <c r="N45" s="71" t="str">
        <f>IF(AND('Mapa final'!$Y$56="Baja",'Mapa final'!$AA$56="Leve"),CONCATENATE("R10C",'Mapa final'!$O$56),"")</f>
        <v/>
      </c>
      <c r="O45" s="72" t="str">
        <f>IF(AND('Mapa final'!$Y$57="Baja",'Mapa final'!$AA$57="Leve"),CONCATENATE("R10C",'Mapa final'!$O$57),"")</f>
        <v/>
      </c>
      <c r="P45" s="58" t="str">
        <f>IF(AND('Mapa final'!$Y$52="Baja",'Mapa final'!$AA$52="Menor"),CONCATENATE("R10C",'Mapa final'!$O$52),"")</f>
        <v/>
      </c>
      <c r="Q45" s="59" t="str">
        <f>IF(AND('Mapa final'!$Y$53="Baja",'Mapa final'!$AA$53="Menor"),CONCATENATE("R10C",'Mapa final'!$O$53),"")</f>
        <v/>
      </c>
      <c r="R45" s="59" t="str">
        <f>IF(AND('Mapa final'!$Y$54="Baja",'Mapa final'!$AA$54="Menor"),CONCATENATE("R10C",'Mapa final'!$O$54),"")</f>
        <v/>
      </c>
      <c r="S45" s="59" t="str">
        <f>IF(AND('Mapa final'!$Y$55="Baja",'Mapa final'!$AA$55="Menor"),CONCATENATE("R10C",'Mapa final'!$O$55),"")</f>
        <v/>
      </c>
      <c r="T45" s="59" t="str">
        <f>IF(AND('Mapa final'!$Y$56="Baja",'Mapa final'!$AA$56="Menor"),CONCATENATE("R10C",'Mapa final'!$O$56),"")</f>
        <v/>
      </c>
      <c r="U45" s="60" t="str">
        <f>IF(AND('Mapa final'!$Y$57="Baja",'Mapa final'!$AA$57="Menor"),CONCATENATE("R10C",'Mapa final'!$O$57),"")</f>
        <v/>
      </c>
      <c r="V45" s="61" t="str">
        <f>IF(AND('Mapa final'!$Y$52="Baja",'Mapa final'!$AA$52="Moderado"),CONCATENATE("R10C",'Mapa final'!$O$52),"")</f>
        <v/>
      </c>
      <c r="W45" s="62" t="str">
        <f>IF(AND('Mapa final'!$Y$53="Baja",'Mapa final'!$AA$53="Moderado"),CONCATENATE("R10C",'Mapa final'!$O$53),"")</f>
        <v/>
      </c>
      <c r="X45" s="62" t="str">
        <f>IF(AND('Mapa final'!$Y$54="Baja",'Mapa final'!$AA$54="Moderado"),CONCATENATE("R10C",'Mapa final'!$O$54),"")</f>
        <v/>
      </c>
      <c r="Y45" s="62" t="str">
        <f>IF(AND('Mapa final'!$Y$55="Baja",'Mapa final'!$AA$55="Moderado"),CONCATENATE("R10C",'Mapa final'!$O$55),"")</f>
        <v/>
      </c>
      <c r="Z45" s="62" t="str">
        <f>IF(AND('Mapa final'!$Y$56="Baja",'Mapa final'!$AA$56="Moderado"),CONCATENATE("R10C",'Mapa final'!$O$56),"")</f>
        <v/>
      </c>
      <c r="AA45" s="63" t="str">
        <f>IF(AND('Mapa final'!$Y$57="Baja",'Mapa final'!$AA$57="Moderado"),CONCATENATE("R10C",'Mapa final'!$O$57),"")</f>
        <v/>
      </c>
      <c r="AB45" s="49" t="str">
        <f>IF(AND('Mapa final'!$Y$52="Baja",'Mapa final'!$AA$52="Mayor"),CONCATENATE("R10C",'Mapa final'!$O$52),"")</f>
        <v/>
      </c>
      <c r="AC45" s="50" t="str">
        <f>IF(AND('Mapa final'!$Y$53="Baja",'Mapa final'!$AA$53="Mayor"),CONCATENATE("R10C",'Mapa final'!$O$53),"")</f>
        <v/>
      </c>
      <c r="AD45" s="50" t="str">
        <f>IF(AND('Mapa final'!$Y$54="Baja",'Mapa final'!$AA$54="Mayor"),CONCATENATE("R10C",'Mapa final'!$O$54),"")</f>
        <v/>
      </c>
      <c r="AE45" s="50" t="str">
        <f>IF(AND('Mapa final'!$Y$55="Baja",'Mapa final'!$AA$55="Mayor"),CONCATENATE("R10C",'Mapa final'!$O$55),"")</f>
        <v/>
      </c>
      <c r="AF45" s="50" t="str">
        <f>IF(AND('Mapa final'!$Y$56="Baja",'Mapa final'!$AA$56="Mayor"),CONCATENATE("R10C",'Mapa final'!$O$56),"")</f>
        <v/>
      </c>
      <c r="AG45" s="51" t="str">
        <f>IF(AND('Mapa final'!$Y$57="Baja",'Mapa final'!$AA$57="Mayor"),CONCATENATE("R10C",'Mapa final'!$O$57),"")</f>
        <v/>
      </c>
      <c r="AH45" s="52" t="str">
        <f>IF(AND('Mapa final'!$Y$52="Baja",'Mapa final'!$AA$52="Catastrófico"),CONCATENATE("R10C",'Mapa final'!$O$52),"")</f>
        <v/>
      </c>
      <c r="AI45" s="53" t="str">
        <f>IF(AND('Mapa final'!$Y$53="Baja",'Mapa final'!$AA$53="Catastrófico"),CONCATENATE("R10C",'Mapa final'!$O$53),"")</f>
        <v/>
      </c>
      <c r="AJ45" s="53" t="str">
        <f>IF(AND('Mapa final'!$Y$54="Baja",'Mapa final'!$AA$54="Catastrófico"),CONCATENATE("R10C",'Mapa final'!$O$54),"")</f>
        <v/>
      </c>
      <c r="AK45" s="53" t="str">
        <f>IF(AND('Mapa final'!$Y$55="Baja",'Mapa final'!$AA$55="Catastrófico"),CONCATENATE("R10C",'Mapa final'!$O$55),"")</f>
        <v/>
      </c>
      <c r="AL45" s="53" t="str">
        <f>IF(AND('Mapa final'!$Y$56="Baja",'Mapa final'!$AA$56="Catastrófico"),CONCATENATE("R10C",'Mapa final'!$O$56),"")</f>
        <v/>
      </c>
      <c r="AM45" s="54" t="str">
        <f>IF(AND('Mapa final'!$Y$57="Baja",'Mapa final'!$AA$57="Catastrófico"),CONCATENATE("R10C",'Mapa final'!$O$57),"")</f>
        <v/>
      </c>
      <c r="AN45" s="74"/>
      <c r="AO45" s="359"/>
      <c r="AP45" s="360"/>
      <c r="AQ45" s="360"/>
      <c r="AR45" s="360"/>
      <c r="AS45" s="360"/>
      <c r="AT45" s="361"/>
    </row>
    <row r="46" spans="1:80" ht="46.5" customHeight="1" x14ac:dyDescent="0.35">
      <c r="A46" s="74"/>
      <c r="B46" s="237"/>
      <c r="C46" s="237"/>
      <c r="D46" s="238"/>
      <c r="E46" s="332" t="s">
        <v>111</v>
      </c>
      <c r="F46" s="333"/>
      <c r="G46" s="333"/>
      <c r="H46" s="333"/>
      <c r="I46" s="350"/>
      <c r="J46" s="64" t="e">
        <f>IF(AND('Mapa final'!#REF!="Muy Baja",'Mapa final'!#REF!="Leve"),CONCATENATE("R1C",'Mapa final'!#REF!),"")</f>
        <v>#REF!</v>
      </c>
      <c r="K46" s="65" t="e">
        <f>IF(AND('Mapa final'!#REF!="Muy Baja",'Mapa final'!#REF!="Leve"),CONCATENATE("R1C",'Mapa final'!#REF!),"")</f>
        <v>#REF!</v>
      </c>
      <c r="L46" s="65" t="e">
        <f>IF(AND('Mapa final'!#REF!="Muy Baja",'Mapa final'!#REF!="Leve"),CONCATENATE("R1C",'Mapa final'!#REF!),"")</f>
        <v>#REF!</v>
      </c>
      <c r="M46" s="65" t="e">
        <f>IF(AND('Mapa final'!#REF!="Muy Baja",'Mapa final'!#REF!="Leve"),CONCATENATE("R1C",'Mapa final'!#REF!),"")</f>
        <v>#REF!</v>
      </c>
      <c r="N46" s="65" t="e">
        <f>IF(AND('Mapa final'!#REF!="Muy Baja",'Mapa final'!#REF!="Leve"),CONCATENATE("R1C",'Mapa final'!#REF!),"")</f>
        <v>#REF!</v>
      </c>
      <c r="O46" s="66" t="e">
        <f>IF(AND('Mapa final'!#REF!="Muy Baja",'Mapa final'!#REF!="Leve"),CONCATENATE("R1C",'Mapa final'!#REF!),"")</f>
        <v>#REF!</v>
      </c>
      <c r="P46" s="64" t="e">
        <f>IF(AND('Mapa final'!#REF!="Muy Baja",'Mapa final'!#REF!="Menor"),CONCATENATE("R1C",'Mapa final'!#REF!),"")</f>
        <v>#REF!</v>
      </c>
      <c r="Q46" s="65" t="e">
        <f>IF(AND('Mapa final'!#REF!="Muy Baja",'Mapa final'!#REF!="Menor"),CONCATENATE("R1C",'Mapa final'!#REF!),"")</f>
        <v>#REF!</v>
      </c>
      <c r="R46" s="65" t="e">
        <f>IF(AND('Mapa final'!#REF!="Muy Baja",'Mapa final'!#REF!="Menor"),CONCATENATE("R1C",'Mapa final'!#REF!),"")</f>
        <v>#REF!</v>
      </c>
      <c r="S46" s="65" t="e">
        <f>IF(AND('Mapa final'!#REF!="Muy Baja",'Mapa final'!#REF!="Menor"),CONCATENATE("R1C",'Mapa final'!#REF!),"")</f>
        <v>#REF!</v>
      </c>
      <c r="T46" s="65" t="e">
        <f>IF(AND('Mapa final'!#REF!="Muy Baja",'Mapa final'!#REF!="Menor"),CONCATENATE("R1C",'Mapa final'!#REF!),"")</f>
        <v>#REF!</v>
      </c>
      <c r="U46" s="66" t="e">
        <f>IF(AND('Mapa final'!#REF!="Muy Baja",'Mapa final'!#REF!="Menor"),CONCATENATE("R1C",'Mapa final'!#REF!),"")</f>
        <v>#REF!</v>
      </c>
      <c r="V46" s="55" t="e">
        <f>IF(AND('Mapa final'!#REF!="Muy Baja",'Mapa final'!#REF!="Moderado"),CONCATENATE("R1C",'Mapa final'!#REF!),"")</f>
        <v>#REF!</v>
      </c>
      <c r="W46" s="73" t="e">
        <f>IF(AND('Mapa final'!#REF!="Muy Baja",'Mapa final'!#REF!="Moderado"),CONCATENATE("R1C",'Mapa final'!#REF!),"")</f>
        <v>#REF!</v>
      </c>
      <c r="X46" s="56" t="e">
        <f>IF(AND('Mapa final'!#REF!="Muy Baja",'Mapa final'!#REF!="Moderado"),CONCATENATE("R1C",'Mapa final'!#REF!),"")</f>
        <v>#REF!</v>
      </c>
      <c r="Y46" s="56" t="e">
        <f>IF(AND('Mapa final'!#REF!="Muy Baja",'Mapa final'!#REF!="Moderado"),CONCATENATE("R1C",'Mapa final'!#REF!),"")</f>
        <v>#REF!</v>
      </c>
      <c r="Z46" s="56" t="e">
        <f>IF(AND('Mapa final'!#REF!="Muy Baja",'Mapa final'!#REF!="Moderado"),CONCATENATE("R1C",'Mapa final'!#REF!),"")</f>
        <v>#REF!</v>
      </c>
      <c r="AA46" s="57" t="e">
        <f>IF(AND('Mapa final'!#REF!="Muy Baja",'Mapa final'!#REF!="Moderado"),CONCATENATE("R1C",'Mapa final'!#REF!),"")</f>
        <v>#REF!</v>
      </c>
      <c r="AB46" s="37" t="e">
        <f>IF(AND('Mapa final'!#REF!="Muy Baja",'Mapa final'!#REF!="Mayor"),CONCATENATE("R1C",'Mapa final'!#REF!),"")</f>
        <v>#REF!</v>
      </c>
      <c r="AC46" s="38" t="e">
        <f>IF(AND('Mapa final'!#REF!="Muy Baja",'Mapa final'!#REF!="Mayor"),CONCATENATE("R1C",'Mapa final'!#REF!),"")</f>
        <v>#REF!</v>
      </c>
      <c r="AD46" s="38" t="e">
        <f>IF(AND('Mapa final'!#REF!="Muy Baja",'Mapa final'!#REF!="Mayor"),CONCATENATE("R1C",'Mapa final'!#REF!),"")</f>
        <v>#REF!</v>
      </c>
      <c r="AE46" s="38" t="e">
        <f>IF(AND('Mapa final'!#REF!="Muy Baja",'Mapa final'!#REF!="Mayor"),CONCATENATE("R1C",'Mapa final'!#REF!),"")</f>
        <v>#REF!</v>
      </c>
      <c r="AF46" s="38" t="e">
        <f>IF(AND('Mapa final'!#REF!="Muy Baja",'Mapa final'!#REF!="Mayor"),CONCATENATE("R1C",'Mapa final'!#REF!),"")</f>
        <v>#REF!</v>
      </c>
      <c r="AG46" s="39" t="e">
        <f>IF(AND('Mapa final'!#REF!="Muy Baja",'Mapa final'!#REF!="Mayor"),CONCATENATE("R1C",'Mapa final'!#REF!),"")</f>
        <v>#REF!</v>
      </c>
      <c r="AH46" s="40" t="e">
        <f>IF(AND('Mapa final'!#REF!="Muy Baja",'Mapa final'!#REF!="Catastrófico"),CONCATENATE("R1C",'Mapa final'!#REF!),"")</f>
        <v>#REF!</v>
      </c>
      <c r="AI46" s="41" t="e">
        <f>IF(AND('Mapa final'!#REF!="Muy Baja",'Mapa final'!#REF!="Catastrófico"),CONCATENATE("R1C",'Mapa final'!#REF!),"")</f>
        <v>#REF!</v>
      </c>
      <c r="AJ46" s="41" t="e">
        <f>IF(AND('Mapa final'!#REF!="Muy Baja",'Mapa final'!#REF!="Catastrófico"),CONCATENATE("R1C",'Mapa final'!#REF!),"")</f>
        <v>#REF!</v>
      </c>
      <c r="AK46" s="41" t="e">
        <f>IF(AND('Mapa final'!#REF!="Muy Baja",'Mapa final'!#REF!="Catastrófico"),CONCATENATE("R1C",'Mapa final'!#REF!),"")</f>
        <v>#REF!</v>
      </c>
      <c r="AL46" s="41" t="e">
        <f>IF(AND('Mapa final'!#REF!="Muy Baja",'Mapa final'!#REF!="Catastrófico"),CONCATENATE("R1C",'Mapa final'!#REF!),"")</f>
        <v>#REF!</v>
      </c>
      <c r="AM46" s="42" t="e">
        <f>IF(AND('Mapa final'!#REF!="Muy Baja",'Mapa final'!#REF!="Catastrófico"),CONCATENATE("R1C",'Mapa final'!#REF!),"")</f>
        <v>#REF!</v>
      </c>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ht="46.5" customHeight="1" x14ac:dyDescent="0.25">
      <c r="A47" s="74"/>
      <c r="B47" s="237"/>
      <c r="C47" s="237"/>
      <c r="D47" s="238"/>
      <c r="E47" s="334"/>
      <c r="F47" s="335"/>
      <c r="G47" s="335"/>
      <c r="H47" s="335"/>
      <c r="I47" s="351"/>
      <c r="J47" s="67" t="e">
        <f>IF(AND('Mapa final'!#REF!="Muy Baja",'Mapa final'!#REF!="Leve"),CONCATENATE("R2C",'Mapa final'!#REF!),"")</f>
        <v>#REF!</v>
      </c>
      <c r="K47" s="68" t="e">
        <f>IF(AND('Mapa final'!#REF!="Muy Baja",'Mapa final'!#REF!="Leve"),CONCATENATE("R2C",'Mapa final'!#REF!),"")</f>
        <v>#REF!</v>
      </c>
      <c r="L47" s="68" t="e">
        <f>IF(AND('Mapa final'!#REF!="Muy Baja",'Mapa final'!#REF!="Leve"),CONCATENATE("R2C",'Mapa final'!#REF!),"")</f>
        <v>#REF!</v>
      </c>
      <c r="M47" s="68" t="e">
        <f>IF(AND('Mapa final'!#REF!="Muy Baja",'Mapa final'!#REF!="Leve"),CONCATENATE("R2C",'Mapa final'!#REF!),"")</f>
        <v>#REF!</v>
      </c>
      <c r="N47" s="68" t="e">
        <f>IF(AND('Mapa final'!#REF!="Muy Baja",'Mapa final'!#REF!="Leve"),CONCATENATE("R2C",'Mapa final'!#REF!),"")</f>
        <v>#REF!</v>
      </c>
      <c r="O47" s="69" t="e">
        <f>IF(AND('Mapa final'!#REF!="Muy Baja",'Mapa final'!#REF!="Leve"),CONCATENATE("R2C",'Mapa final'!#REF!),"")</f>
        <v>#REF!</v>
      </c>
      <c r="P47" s="67" t="e">
        <f>IF(AND('Mapa final'!#REF!="Muy Baja",'Mapa final'!#REF!="Menor"),CONCATENATE("R2C",'Mapa final'!#REF!),"")</f>
        <v>#REF!</v>
      </c>
      <c r="Q47" s="68" t="e">
        <f>IF(AND('Mapa final'!#REF!="Muy Baja",'Mapa final'!#REF!="Menor"),CONCATENATE("R2C",'Mapa final'!#REF!),"")</f>
        <v>#REF!</v>
      </c>
      <c r="R47" s="68" t="e">
        <f>IF(AND('Mapa final'!#REF!="Muy Baja",'Mapa final'!#REF!="Menor"),CONCATENATE("R2C",'Mapa final'!#REF!),"")</f>
        <v>#REF!</v>
      </c>
      <c r="S47" s="68" t="e">
        <f>IF(AND('Mapa final'!#REF!="Muy Baja",'Mapa final'!#REF!="Menor"),CONCATENATE("R2C",'Mapa final'!#REF!),"")</f>
        <v>#REF!</v>
      </c>
      <c r="T47" s="68" t="e">
        <f>IF(AND('Mapa final'!#REF!="Muy Baja",'Mapa final'!#REF!="Menor"),CONCATENATE("R2C",'Mapa final'!#REF!),"")</f>
        <v>#REF!</v>
      </c>
      <c r="U47" s="69" t="e">
        <f>IF(AND('Mapa final'!#REF!="Muy Baja",'Mapa final'!#REF!="Menor"),CONCATENATE("R2C",'Mapa final'!#REF!),"")</f>
        <v>#REF!</v>
      </c>
      <c r="V47" s="58" t="e">
        <f>IF(AND('Mapa final'!#REF!="Muy Baja",'Mapa final'!#REF!="Moderado"),CONCATENATE("R2C",'Mapa final'!#REF!),"")</f>
        <v>#REF!</v>
      </c>
      <c r="W47" s="59" t="e">
        <f>IF(AND('Mapa final'!#REF!="Muy Baja",'Mapa final'!#REF!="Moderado"),CONCATENATE("R2C",'Mapa final'!#REF!),"")</f>
        <v>#REF!</v>
      </c>
      <c r="X47" s="59" t="e">
        <f>IF(AND('Mapa final'!#REF!="Muy Baja",'Mapa final'!#REF!="Moderado"),CONCATENATE("R2C",'Mapa final'!#REF!),"")</f>
        <v>#REF!</v>
      </c>
      <c r="Y47" s="59" t="e">
        <f>IF(AND('Mapa final'!#REF!="Muy Baja",'Mapa final'!#REF!="Moderado"),CONCATENATE("R2C",'Mapa final'!#REF!),"")</f>
        <v>#REF!</v>
      </c>
      <c r="Z47" s="59" t="e">
        <f>IF(AND('Mapa final'!#REF!="Muy Baja",'Mapa final'!#REF!="Moderado"),CONCATENATE("R2C",'Mapa final'!#REF!),"")</f>
        <v>#REF!</v>
      </c>
      <c r="AA47" s="60" t="e">
        <f>IF(AND('Mapa final'!#REF!="Muy Baja",'Mapa final'!#REF!="Moderado"),CONCATENATE("R2C",'Mapa final'!#REF!),"")</f>
        <v>#REF!</v>
      </c>
      <c r="AB47" s="43" t="e">
        <f>IF(AND('Mapa final'!#REF!="Muy Baja",'Mapa final'!#REF!="Mayor"),CONCATENATE("R2C",'Mapa final'!#REF!),"")</f>
        <v>#REF!</v>
      </c>
      <c r="AC47" s="44" t="e">
        <f>IF(AND('Mapa final'!#REF!="Muy Baja",'Mapa final'!#REF!="Mayor"),CONCATENATE("R2C",'Mapa final'!#REF!),"")</f>
        <v>#REF!</v>
      </c>
      <c r="AD47" s="44" t="e">
        <f>IF(AND('Mapa final'!#REF!="Muy Baja",'Mapa final'!#REF!="Mayor"),CONCATENATE("R2C",'Mapa final'!#REF!),"")</f>
        <v>#REF!</v>
      </c>
      <c r="AE47" s="44" t="e">
        <f>IF(AND('Mapa final'!#REF!="Muy Baja",'Mapa final'!#REF!="Mayor"),CONCATENATE("R2C",'Mapa final'!#REF!),"")</f>
        <v>#REF!</v>
      </c>
      <c r="AF47" s="44" t="e">
        <f>IF(AND('Mapa final'!#REF!="Muy Baja",'Mapa final'!#REF!="Mayor"),CONCATENATE("R2C",'Mapa final'!#REF!),"")</f>
        <v>#REF!</v>
      </c>
      <c r="AG47" s="45" t="e">
        <f>IF(AND('Mapa final'!#REF!="Muy Baja",'Mapa final'!#REF!="Mayor"),CONCATENATE("R2C",'Mapa final'!#REF!),"")</f>
        <v>#REF!</v>
      </c>
      <c r="AH47" s="46" t="e">
        <f>IF(AND('Mapa final'!#REF!="Muy Baja",'Mapa final'!#REF!="Catastrófico"),CONCATENATE("R2C",'Mapa final'!#REF!),"")</f>
        <v>#REF!</v>
      </c>
      <c r="AI47" s="47" t="e">
        <f>IF(AND('Mapa final'!#REF!="Muy Baja",'Mapa final'!#REF!="Catastrófico"),CONCATENATE("R2C",'Mapa final'!#REF!),"")</f>
        <v>#REF!</v>
      </c>
      <c r="AJ47" s="47" t="e">
        <f>IF(AND('Mapa final'!#REF!="Muy Baja",'Mapa final'!#REF!="Catastrófico"),CONCATENATE("R2C",'Mapa final'!#REF!),"")</f>
        <v>#REF!</v>
      </c>
      <c r="AK47" s="47" t="e">
        <f>IF(AND('Mapa final'!#REF!="Muy Baja",'Mapa final'!#REF!="Catastrófico"),CONCATENATE("R2C",'Mapa final'!#REF!),"")</f>
        <v>#REF!</v>
      </c>
      <c r="AL47" s="47" t="e">
        <f>IF(AND('Mapa final'!#REF!="Muy Baja",'Mapa final'!#REF!="Catastrófico"),CONCATENATE("R2C",'Mapa final'!#REF!),"")</f>
        <v>#REF!</v>
      </c>
      <c r="AM47" s="48" t="e">
        <f>IF(AND('Mapa final'!#REF!="Muy Baja",'Mapa final'!#REF!="Catastrófico"),CONCATENATE("R2C",'Mapa final'!#REF!),"")</f>
        <v>#REF!</v>
      </c>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ht="15" customHeight="1" x14ac:dyDescent="0.25">
      <c r="A48" s="74"/>
      <c r="B48" s="237"/>
      <c r="C48" s="237"/>
      <c r="D48" s="238"/>
      <c r="E48" s="334"/>
      <c r="F48" s="335"/>
      <c r="G48" s="335"/>
      <c r="H48" s="335"/>
      <c r="I48" s="351"/>
      <c r="J48" s="67" t="str">
        <f ca="1">IF(AND('Mapa final'!$Y$10="Muy Baja",'Mapa final'!$AA$10="Leve"),CONCATENATE("R3C",'Mapa final'!$O$10),"")</f>
        <v/>
      </c>
      <c r="K48" s="68" t="str">
        <f>IF(AND('Mapa final'!$Y$11="Muy Baja",'Mapa final'!$AA$11="Leve"),CONCATENATE("R3C",'Mapa final'!$O$11),"")</f>
        <v/>
      </c>
      <c r="L48" s="68" t="str">
        <f>IF(AND('Mapa final'!$Y$12="Muy Baja",'Mapa final'!$AA$12="Leve"),CONCATENATE("R3C",'Mapa final'!$O$12),"")</f>
        <v/>
      </c>
      <c r="M48" s="68" t="str">
        <f>IF(AND('Mapa final'!$Y$13="Muy Baja",'Mapa final'!$AA$13="Leve"),CONCATENATE("R3C",'Mapa final'!$O$13),"")</f>
        <v/>
      </c>
      <c r="N48" s="68" t="str">
        <f>IF(AND('Mapa final'!$Y$14="Muy Baja",'Mapa final'!$AA$14="Leve"),CONCATENATE("R3C",'Mapa final'!$O$14),"")</f>
        <v/>
      </c>
      <c r="O48" s="69" t="str">
        <f>IF(AND('Mapa final'!$Y$15="Muy Baja",'Mapa final'!$AA$15="Leve"),CONCATENATE("R3C",'Mapa final'!$O$15),"")</f>
        <v/>
      </c>
      <c r="P48" s="67" t="str">
        <f ca="1">IF(AND('Mapa final'!$Y$10="Muy Baja",'Mapa final'!$AA$10="Menor"),CONCATENATE("R3C",'Mapa final'!$O$10),"")</f>
        <v/>
      </c>
      <c r="Q48" s="68" t="str">
        <f>IF(AND('Mapa final'!$Y$11="Muy Baja",'Mapa final'!$AA$11="Menor"),CONCATENATE("R3C",'Mapa final'!$O$11),"")</f>
        <v/>
      </c>
      <c r="R48" s="68" t="str">
        <f>IF(AND('Mapa final'!$Y$12="Muy Baja",'Mapa final'!$AA$12="Menor"),CONCATENATE("R3C",'Mapa final'!$O$12),"")</f>
        <v/>
      </c>
      <c r="S48" s="68" t="str">
        <f>IF(AND('Mapa final'!$Y$13="Muy Baja",'Mapa final'!$AA$13="Menor"),CONCATENATE("R3C",'Mapa final'!$O$13),"")</f>
        <v/>
      </c>
      <c r="T48" s="68" t="str">
        <f>IF(AND('Mapa final'!$Y$14="Muy Baja",'Mapa final'!$AA$14="Menor"),CONCATENATE("R3C",'Mapa final'!$O$14),"")</f>
        <v/>
      </c>
      <c r="U48" s="69" t="str">
        <f>IF(AND('Mapa final'!$Y$15="Muy Baja",'Mapa final'!$AA$15="Menor"),CONCATENATE("R3C",'Mapa final'!$O$15),"")</f>
        <v/>
      </c>
      <c r="V48" s="58" t="str">
        <f ca="1">IF(AND('Mapa final'!$Y$10="Muy Baja",'Mapa final'!$AA$10="Moderado"),CONCATENATE("R3C",'Mapa final'!$O$10),"")</f>
        <v/>
      </c>
      <c r="W48" s="59" t="str">
        <f>IF(AND('Mapa final'!$Y$11="Muy Baja",'Mapa final'!$AA$11="Moderado"),CONCATENATE("R3C",'Mapa final'!$O$11),"")</f>
        <v/>
      </c>
      <c r="X48" s="59" t="str">
        <f>IF(AND('Mapa final'!$Y$12="Muy Baja",'Mapa final'!$AA$12="Moderado"),CONCATENATE("R3C",'Mapa final'!$O$12),"")</f>
        <v/>
      </c>
      <c r="Y48" s="59" t="str">
        <f>IF(AND('Mapa final'!$Y$13="Muy Baja",'Mapa final'!$AA$13="Moderado"),CONCATENATE("R3C",'Mapa final'!$O$13),"")</f>
        <v/>
      </c>
      <c r="Z48" s="59" t="str">
        <f>IF(AND('Mapa final'!$Y$14="Muy Baja",'Mapa final'!$AA$14="Moderado"),CONCATENATE("R3C",'Mapa final'!$O$14),"")</f>
        <v/>
      </c>
      <c r="AA48" s="60" t="str">
        <f>IF(AND('Mapa final'!$Y$15="Muy Baja",'Mapa final'!$AA$15="Moderado"),CONCATENATE("R3C",'Mapa final'!$O$15),"")</f>
        <v/>
      </c>
      <c r="AB48" s="43" t="str">
        <f ca="1">IF(AND('Mapa final'!$Y$10="Muy Baja",'Mapa final'!$AA$10="Mayor"),CONCATENATE("R3C",'Mapa final'!$O$10),"")</f>
        <v/>
      </c>
      <c r="AC48" s="44" t="str">
        <f>IF(AND('Mapa final'!$Y$11="Muy Baja",'Mapa final'!$AA$11="Mayor"),CONCATENATE("R3C",'Mapa final'!$O$11),"")</f>
        <v/>
      </c>
      <c r="AD48" s="44" t="str">
        <f>IF(AND('Mapa final'!$Y$12="Muy Baja",'Mapa final'!$AA$12="Mayor"),CONCATENATE("R3C",'Mapa final'!$O$12),"")</f>
        <v/>
      </c>
      <c r="AE48" s="44" t="str">
        <f>IF(AND('Mapa final'!$Y$13="Muy Baja",'Mapa final'!$AA$13="Mayor"),CONCATENATE("R3C",'Mapa final'!$O$13),"")</f>
        <v/>
      </c>
      <c r="AF48" s="44" t="str">
        <f>IF(AND('Mapa final'!$Y$14="Muy Baja",'Mapa final'!$AA$14="Mayor"),CONCATENATE("R3C",'Mapa final'!$O$14),"")</f>
        <v/>
      </c>
      <c r="AG48" s="45" t="str">
        <f>IF(AND('Mapa final'!$Y$15="Muy Baja",'Mapa final'!$AA$15="Mayor"),CONCATENATE("R3C",'Mapa final'!$O$15),"")</f>
        <v/>
      </c>
      <c r="AH48" s="46" t="str">
        <f ca="1">IF(AND('Mapa final'!$Y$10="Muy Baja",'Mapa final'!$AA$10="Catastrófico"),CONCATENATE("R3C",'Mapa final'!$O$10),"")</f>
        <v/>
      </c>
      <c r="AI48" s="47" t="str">
        <f>IF(AND('Mapa final'!$Y$11="Muy Baja",'Mapa final'!$AA$11="Catastrófico"),CONCATENATE("R3C",'Mapa final'!$O$11),"")</f>
        <v/>
      </c>
      <c r="AJ48" s="47" t="str">
        <f>IF(AND('Mapa final'!$Y$12="Muy Baja",'Mapa final'!$AA$12="Catastrófico"),CONCATENATE("R3C",'Mapa final'!$O$12),"")</f>
        <v/>
      </c>
      <c r="AK48" s="47" t="str">
        <f>IF(AND('Mapa final'!$Y$13="Muy Baja",'Mapa final'!$AA$13="Catastrófico"),CONCATENATE("R3C",'Mapa final'!$O$13),"")</f>
        <v/>
      </c>
      <c r="AL48" s="47" t="str">
        <f>IF(AND('Mapa final'!$Y$14="Muy Baja",'Mapa final'!$AA$14="Catastrófico"),CONCATENATE("R3C",'Mapa final'!$O$14),"")</f>
        <v/>
      </c>
      <c r="AM48" s="48" t="str">
        <f>IF(AND('Mapa final'!$Y$15="Muy Baja",'Mapa final'!$AA$15="Catastrófico"),CONCATENATE("R3C",'Mapa final'!$O$15),"")</f>
        <v/>
      </c>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ht="15" customHeight="1" x14ac:dyDescent="0.25">
      <c r="A49" s="74"/>
      <c r="B49" s="237"/>
      <c r="C49" s="237"/>
      <c r="D49" s="238"/>
      <c r="E49" s="336"/>
      <c r="F49" s="335"/>
      <c r="G49" s="335"/>
      <c r="H49" s="335"/>
      <c r="I49" s="351"/>
      <c r="J49" s="67" t="e">
        <f>IF(AND('Mapa final'!#REF!="Muy Baja",'Mapa final'!#REF!="Leve"),CONCATENATE("R4C",'Mapa final'!#REF!),"")</f>
        <v>#REF!</v>
      </c>
      <c r="K49" s="68" t="e">
        <f>IF(AND('Mapa final'!#REF!="Muy Baja",'Mapa final'!#REF!="Leve"),CONCATENATE("R4C",'Mapa final'!#REF!),"")</f>
        <v>#REF!</v>
      </c>
      <c r="L49" s="68" t="e">
        <f>IF(AND('Mapa final'!#REF!="Muy Baja",'Mapa final'!#REF!="Leve"),CONCATENATE("R4C",'Mapa final'!#REF!),"")</f>
        <v>#REF!</v>
      </c>
      <c r="M49" s="68" t="e">
        <f>IF(AND('Mapa final'!#REF!="Muy Baja",'Mapa final'!#REF!="Leve"),CONCATENATE("R4C",'Mapa final'!#REF!),"")</f>
        <v>#REF!</v>
      </c>
      <c r="N49" s="68" t="e">
        <f>IF(AND('Mapa final'!#REF!="Muy Baja",'Mapa final'!#REF!="Leve"),CONCATENATE("R4C",'Mapa final'!#REF!),"")</f>
        <v>#REF!</v>
      </c>
      <c r="O49" s="69" t="e">
        <f>IF(AND('Mapa final'!#REF!="Muy Baja",'Mapa final'!#REF!="Leve"),CONCATENATE("R4C",'Mapa final'!#REF!),"")</f>
        <v>#REF!</v>
      </c>
      <c r="P49" s="67" t="e">
        <f>IF(AND('Mapa final'!#REF!="Muy Baja",'Mapa final'!#REF!="Menor"),CONCATENATE("R4C",'Mapa final'!#REF!),"")</f>
        <v>#REF!</v>
      </c>
      <c r="Q49" s="68" t="e">
        <f>IF(AND('Mapa final'!#REF!="Muy Baja",'Mapa final'!#REF!="Menor"),CONCATENATE("R4C",'Mapa final'!#REF!),"")</f>
        <v>#REF!</v>
      </c>
      <c r="R49" s="68" t="e">
        <f>IF(AND('Mapa final'!#REF!="Muy Baja",'Mapa final'!#REF!="Menor"),CONCATENATE("R4C",'Mapa final'!#REF!),"")</f>
        <v>#REF!</v>
      </c>
      <c r="S49" s="68" t="e">
        <f>IF(AND('Mapa final'!#REF!="Muy Baja",'Mapa final'!#REF!="Menor"),CONCATENATE("R4C",'Mapa final'!#REF!),"")</f>
        <v>#REF!</v>
      </c>
      <c r="T49" s="68" t="e">
        <f>IF(AND('Mapa final'!#REF!="Muy Baja",'Mapa final'!#REF!="Menor"),CONCATENATE("R4C",'Mapa final'!#REF!),"")</f>
        <v>#REF!</v>
      </c>
      <c r="U49" s="69" t="e">
        <f>IF(AND('Mapa final'!#REF!="Muy Baja",'Mapa final'!#REF!="Menor"),CONCATENATE("R4C",'Mapa final'!#REF!),"")</f>
        <v>#REF!</v>
      </c>
      <c r="V49" s="58" t="e">
        <f>IF(AND('Mapa final'!#REF!="Muy Baja",'Mapa final'!#REF!="Moderado"),CONCATENATE("R4C",'Mapa final'!#REF!),"")</f>
        <v>#REF!</v>
      </c>
      <c r="W49" s="59" t="e">
        <f>IF(AND('Mapa final'!#REF!="Muy Baja",'Mapa final'!#REF!="Moderado"),CONCATENATE("R4C",'Mapa final'!#REF!),"")</f>
        <v>#REF!</v>
      </c>
      <c r="X49" s="59" t="e">
        <f>IF(AND('Mapa final'!#REF!="Muy Baja",'Mapa final'!#REF!="Moderado"),CONCATENATE("R4C",'Mapa final'!#REF!),"")</f>
        <v>#REF!</v>
      </c>
      <c r="Y49" s="59" t="e">
        <f>IF(AND('Mapa final'!#REF!="Muy Baja",'Mapa final'!#REF!="Moderado"),CONCATENATE("R4C",'Mapa final'!#REF!),"")</f>
        <v>#REF!</v>
      </c>
      <c r="Z49" s="59" t="e">
        <f>IF(AND('Mapa final'!#REF!="Muy Baja",'Mapa final'!#REF!="Moderado"),CONCATENATE("R4C",'Mapa final'!#REF!),"")</f>
        <v>#REF!</v>
      </c>
      <c r="AA49" s="60" t="e">
        <f>IF(AND('Mapa final'!#REF!="Muy Baja",'Mapa final'!#REF!="Moderado"),CONCATENATE("R4C",'Mapa final'!#REF!),"")</f>
        <v>#REF!</v>
      </c>
      <c r="AB49" s="43" t="e">
        <f>IF(AND('Mapa final'!#REF!="Muy Baja",'Mapa final'!#REF!="Mayor"),CONCATENATE("R4C",'Mapa final'!#REF!),"")</f>
        <v>#REF!</v>
      </c>
      <c r="AC49" s="44" t="e">
        <f>IF(AND('Mapa final'!#REF!="Muy Baja",'Mapa final'!#REF!="Mayor"),CONCATENATE("R4C",'Mapa final'!#REF!),"")</f>
        <v>#REF!</v>
      </c>
      <c r="AD49" s="44" t="e">
        <f>IF(AND('Mapa final'!#REF!="Muy Baja",'Mapa final'!#REF!="Mayor"),CONCATENATE("R4C",'Mapa final'!#REF!),"")</f>
        <v>#REF!</v>
      </c>
      <c r="AE49" s="44" t="e">
        <f>IF(AND('Mapa final'!#REF!="Muy Baja",'Mapa final'!#REF!="Mayor"),CONCATENATE("R4C",'Mapa final'!#REF!),"")</f>
        <v>#REF!</v>
      </c>
      <c r="AF49" s="44" t="e">
        <f>IF(AND('Mapa final'!#REF!="Muy Baja",'Mapa final'!#REF!="Mayor"),CONCATENATE("R4C",'Mapa final'!#REF!),"")</f>
        <v>#REF!</v>
      </c>
      <c r="AG49" s="45" t="e">
        <f>IF(AND('Mapa final'!#REF!="Muy Baja",'Mapa final'!#REF!="Mayor"),CONCATENATE("R4C",'Mapa final'!#REF!),"")</f>
        <v>#REF!</v>
      </c>
      <c r="AH49" s="46" t="e">
        <f>IF(AND('Mapa final'!#REF!="Muy Baja",'Mapa final'!#REF!="Catastrófico"),CONCATENATE("R4C",'Mapa final'!#REF!),"")</f>
        <v>#REF!</v>
      </c>
      <c r="AI49" s="47" t="e">
        <f>IF(AND('Mapa final'!#REF!="Muy Baja",'Mapa final'!#REF!="Catastrófico"),CONCATENATE("R4C",'Mapa final'!#REF!),"")</f>
        <v>#REF!</v>
      </c>
      <c r="AJ49" s="47" t="e">
        <f>IF(AND('Mapa final'!#REF!="Muy Baja",'Mapa final'!#REF!="Catastrófico"),CONCATENATE("R4C",'Mapa final'!#REF!),"")</f>
        <v>#REF!</v>
      </c>
      <c r="AK49" s="47" t="e">
        <f>IF(AND('Mapa final'!#REF!="Muy Baja",'Mapa final'!#REF!="Catastrófico"),CONCATENATE("R4C",'Mapa final'!#REF!),"")</f>
        <v>#REF!</v>
      </c>
      <c r="AL49" s="47" t="e">
        <f>IF(AND('Mapa final'!#REF!="Muy Baja",'Mapa final'!#REF!="Catastrófico"),CONCATENATE("R4C",'Mapa final'!#REF!),"")</f>
        <v>#REF!</v>
      </c>
      <c r="AM49" s="48" t="e">
        <f>IF(AND('Mapa final'!#REF!="Muy Baja",'Mapa final'!#REF!="Catastrófico"),CONCATENATE("R4C",'Mapa final'!#REF!),"")</f>
        <v>#REF!</v>
      </c>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ht="15" customHeight="1" x14ac:dyDescent="0.25">
      <c r="A50" s="74"/>
      <c r="B50" s="237"/>
      <c r="C50" s="237"/>
      <c r="D50" s="238"/>
      <c r="E50" s="336"/>
      <c r="F50" s="335"/>
      <c r="G50" s="335"/>
      <c r="H50" s="335"/>
      <c r="I50" s="351"/>
      <c r="J50" s="67" t="str">
        <f ca="1">IF(AND('Mapa final'!$Y$16="Muy Baja",'Mapa final'!$AA$16="Leve"),CONCATENATE("R5C",'Mapa final'!$O$16),"")</f>
        <v/>
      </c>
      <c r="K50" s="68" t="str">
        <f>IF(AND('Mapa final'!$Y$17="Muy Baja",'Mapa final'!$AA$17="Leve"),CONCATENATE("R5C",'Mapa final'!$O$17),"")</f>
        <v/>
      </c>
      <c r="L50" s="68" t="str">
        <f>IF(AND('Mapa final'!$Y$18="Muy Baja",'Mapa final'!$AA$18="Leve"),CONCATENATE("R5C",'Mapa final'!$O$18),"")</f>
        <v/>
      </c>
      <c r="M50" s="68" t="str">
        <f>IF(AND('Mapa final'!$Y$19="Muy Baja",'Mapa final'!$AA$19="Leve"),CONCATENATE("R5C",'Mapa final'!$O$19),"")</f>
        <v/>
      </c>
      <c r="N50" s="68" t="str">
        <f>IF(AND('Mapa final'!$Y$20="Muy Baja",'Mapa final'!$AA$20="Leve"),CONCATENATE("R5C",'Mapa final'!$O$20),"")</f>
        <v/>
      </c>
      <c r="O50" s="69" t="str">
        <f>IF(AND('Mapa final'!$Y$21="Muy Baja",'Mapa final'!$AA$21="Leve"),CONCATENATE("R5C",'Mapa final'!$O$21),"")</f>
        <v/>
      </c>
      <c r="P50" s="67" t="str">
        <f ca="1">IF(AND('Mapa final'!$Y$16="Muy Baja",'Mapa final'!$AA$16="Menor"),CONCATENATE("R5C",'Mapa final'!$O$16),"")</f>
        <v/>
      </c>
      <c r="Q50" s="68" t="str">
        <f>IF(AND('Mapa final'!$Y$17="Muy Baja",'Mapa final'!$AA$17="Menor"),CONCATENATE("R5C",'Mapa final'!$O$17),"")</f>
        <v/>
      </c>
      <c r="R50" s="68" t="str">
        <f>IF(AND('Mapa final'!$Y$18="Muy Baja",'Mapa final'!$AA$18="Menor"),CONCATENATE("R5C",'Mapa final'!$O$18),"")</f>
        <v/>
      </c>
      <c r="S50" s="68" t="str">
        <f>IF(AND('Mapa final'!$Y$19="Muy Baja",'Mapa final'!$AA$19="Menor"),CONCATENATE("R5C",'Mapa final'!$O$19),"")</f>
        <v/>
      </c>
      <c r="T50" s="68" t="str">
        <f>IF(AND('Mapa final'!$Y$20="Muy Baja",'Mapa final'!$AA$20="Menor"),CONCATENATE("R5C",'Mapa final'!$O$20),"")</f>
        <v/>
      </c>
      <c r="U50" s="69" t="str">
        <f>IF(AND('Mapa final'!$Y$21="Muy Baja",'Mapa final'!$AA$21="Menor"),CONCATENATE("R5C",'Mapa final'!$O$21),"")</f>
        <v/>
      </c>
      <c r="V50" s="58" t="str">
        <f ca="1">IF(AND('Mapa final'!$Y$16="Muy Baja",'Mapa final'!$AA$16="Moderado"),CONCATENATE("R5C",'Mapa final'!$O$16),"")</f>
        <v/>
      </c>
      <c r="W50" s="59" t="str">
        <f>IF(AND('Mapa final'!$Y$17="Muy Baja",'Mapa final'!$AA$17="Moderado"),CONCATENATE("R5C",'Mapa final'!$O$17),"")</f>
        <v/>
      </c>
      <c r="X50" s="59" t="str">
        <f>IF(AND('Mapa final'!$Y$18="Muy Baja",'Mapa final'!$AA$18="Moderado"),CONCATENATE("R5C",'Mapa final'!$O$18),"")</f>
        <v/>
      </c>
      <c r="Y50" s="59" t="str">
        <f>IF(AND('Mapa final'!$Y$19="Muy Baja",'Mapa final'!$AA$19="Moderado"),CONCATENATE("R5C",'Mapa final'!$O$19),"")</f>
        <v/>
      </c>
      <c r="Z50" s="59" t="str">
        <f>IF(AND('Mapa final'!$Y$20="Muy Baja",'Mapa final'!$AA$20="Moderado"),CONCATENATE("R5C",'Mapa final'!$O$20),"")</f>
        <v/>
      </c>
      <c r="AA50" s="60" t="str">
        <f>IF(AND('Mapa final'!$Y$21="Muy Baja",'Mapa final'!$AA$21="Moderado"),CONCATENATE("R5C",'Mapa final'!$O$21),"")</f>
        <v/>
      </c>
      <c r="AB50" s="43" t="str">
        <f ca="1">IF(AND('Mapa final'!$Y$16="Muy Baja",'Mapa final'!$AA$16="Mayor"),CONCATENATE("R5C",'Mapa final'!$O$16),"")</f>
        <v/>
      </c>
      <c r="AC50" s="44" t="str">
        <f>IF(AND('Mapa final'!$Y$17="Muy Baja",'Mapa final'!$AA$17="Mayor"),CONCATENATE("R5C",'Mapa final'!$O$17),"")</f>
        <v/>
      </c>
      <c r="AD50" s="44" t="str">
        <f>IF(AND('Mapa final'!$Y$18="Muy Baja",'Mapa final'!$AA$18="Mayor"),CONCATENATE("R5C",'Mapa final'!$O$18),"")</f>
        <v/>
      </c>
      <c r="AE50" s="44" t="str">
        <f>IF(AND('Mapa final'!$Y$19="Muy Baja",'Mapa final'!$AA$19="Mayor"),CONCATENATE("R5C",'Mapa final'!$O$19),"")</f>
        <v/>
      </c>
      <c r="AF50" s="44" t="str">
        <f>IF(AND('Mapa final'!$Y$20="Muy Baja",'Mapa final'!$AA$20="Mayor"),CONCATENATE("R5C",'Mapa final'!$O$20),"")</f>
        <v/>
      </c>
      <c r="AG50" s="45" t="str">
        <f>IF(AND('Mapa final'!$Y$21="Muy Baja",'Mapa final'!$AA$21="Mayor"),CONCATENATE("R5C",'Mapa final'!$O$21),"")</f>
        <v/>
      </c>
      <c r="AH50" s="46" t="str">
        <f ca="1">IF(AND('Mapa final'!$Y$16="Muy Baja",'Mapa final'!$AA$16="Catastrófico"),CONCATENATE("R5C",'Mapa final'!$O$16),"")</f>
        <v/>
      </c>
      <c r="AI50" s="47" t="str">
        <f>IF(AND('Mapa final'!$Y$17="Muy Baja",'Mapa final'!$AA$17="Catastrófico"),CONCATENATE("R5C",'Mapa final'!$O$17),"")</f>
        <v/>
      </c>
      <c r="AJ50" s="47" t="str">
        <f>IF(AND('Mapa final'!$Y$18="Muy Baja",'Mapa final'!$AA$18="Catastrófico"),CONCATENATE("R5C",'Mapa final'!$O$18),"")</f>
        <v/>
      </c>
      <c r="AK50" s="47" t="str">
        <f>IF(AND('Mapa final'!$Y$19="Muy Baja",'Mapa final'!$AA$19="Catastrófico"),CONCATENATE("R5C",'Mapa final'!$O$19),"")</f>
        <v/>
      </c>
      <c r="AL50" s="47" t="str">
        <f>IF(AND('Mapa final'!$Y$20="Muy Baja",'Mapa final'!$AA$20="Catastrófico"),CONCATENATE("R5C",'Mapa final'!$O$20),"")</f>
        <v/>
      </c>
      <c r="AM50" s="48" t="str">
        <f>IF(AND('Mapa final'!$Y$21="Muy Baja",'Mapa final'!$AA$21="Catastrófico"),CONCATENATE("R5C",'Mapa final'!$O$21),"")</f>
        <v/>
      </c>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 customHeight="1" x14ac:dyDescent="0.25">
      <c r="A51" s="74"/>
      <c r="B51" s="237"/>
      <c r="C51" s="237"/>
      <c r="D51" s="238"/>
      <c r="E51" s="336"/>
      <c r="F51" s="335"/>
      <c r="G51" s="335"/>
      <c r="H51" s="335"/>
      <c r="I51" s="351"/>
      <c r="J51" s="67" t="str">
        <f ca="1">IF(AND('Mapa final'!$Y$28="Muy Baja",'Mapa final'!$AA$28="Leve"),CONCATENATE("R6C",'Mapa final'!$O$28),"")</f>
        <v/>
      </c>
      <c r="K51" s="68" t="str">
        <f ca="1">IF(AND('Mapa final'!$Y$29="Muy Baja",'Mapa final'!$AA$29="Leve"),CONCATENATE("R6C",'Mapa final'!$O$29),"")</f>
        <v/>
      </c>
      <c r="L51" s="68" t="str">
        <f>IF(AND('Mapa final'!$Y$30="Muy Baja",'Mapa final'!$AA$30="Leve"),CONCATENATE("R6C",'Mapa final'!$O$30),"")</f>
        <v/>
      </c>
      <c r="M51" s="68" t="str">
        <f>IF(AND('Mapa final'!$Y$31="Muy Baja",'Mapa final'!$AA$31="Leve"),CONCATENATE("R6C",'Mapa final'!$O$31),"")</f>
        <v/>
      </c>
      <c r="N51" s="68" t="str">
        <f>IF(AND('Mapa final'!$Y$32="Muy Baja",'Mapa final'!$AA$32="Leve"),CONCATENATE("R6C",'Mapa final'!$O$32),"")</f>
        <v/>
      </c>
      <c r="O51" s="69" t="str">
        <f>IF(AND('Mapa final'!$Y$33="Muy Baja",'Mapa final'!$AA$33="Leve"),CONCATENATE("R6C",'Mapa final'!$O$33),"")</f>
        <v/>
      </c>
      <c r="P51" s="67" t="str">
        <f ca="1">IF(AND('Mapa final'!$Y$28="Muy Baja",'Mapa final'!$AA$28="Menor"),CONCATENATE("R6C",'Mapa final'!$O$28),"")</f>
        <v/>
      </c>
      <c r="Q51" s="68" t="str">
        <f ca="1">IF(AND('Mapa final'!$Y$29="Muy Baja",'Mapa final'!$AA$29="Menor"),CONCATENATE("R6C",'Mapa final'!$O$29),"")</f>
        <v/>
      </c>
      <c r="R51" s="68" t="str">
        <f>IF(AND('Mapa final'!$Y$30="Muy Baja",'Mapa final'!$AA$30="Menor"),CONCATENATE("R6C",'Mapa final'!$O$30),"")</f>
        <v/>
      </c>
      <c r="S51" s="68" t="str">
        <f>IF(AND('Mapa final'!$Y$31="Muy Baja",'Mapa final'!$AA$31="Menor"),CONCATENATE("R6C",'Mapa final'!$O$31),"")</f>
        <v/>
      </c>
      <c r="T51" s="68" t="str">
        <f>IF(AND('Mapa final'!$Y$32="Muy Baja",'Mapa final'!$AA$32="Menor"),CONCATENATE("R6C",'Mapa final'!$O$32),"")</f>
        <v/>
      </c>
      <c r="U51" s="69" t="str">
        <f>IF(AND('Mapa final'!$Y$33="Muy Baja",'Mapa final'!$AA$33="Menor"),CONCATENATE("R6C",'Mapa final'!$O$33),"")</f>
        <v/>
      </c>
      <c r="V51" s="58" t="str">
        <f ca="1">IF(AND('Mapa final'!$Y$28="Muy Baja",'Mapa final'!$AA$28="Moderado"),CONCATENATE("R6C",'Mapa final'!$O$28),"")</f>
        <v/>
      </c>
      <c r="W51" s="59" t="str">
        <f ca="1">IF(AND('Mapa final'!$Y$29="Muy Baja",'Mapa final'!$AA$29="Moderado"),CONCATENATE("R6C",'Mapa final'!$O$29),"")</f>
        <v/>
      </c>
      <c r="X51" s="59" t="str">
        <f>IF(AND('Mapa final'!$Y$30="Muy Baja",'Mapa final'!$AA$30="Moderado"),CONCATENATE("R6C",'Mapa final'!$O$30),"")</f>
        <v/>
      </c>
      <c r="Y51" s="59" t="str">
        <f>IF(AND('Mapa final'!$Y$31="Muy Baja",'Mapa final'!$AA$31="Moderado"),CONCATENATE("R6C",'Mapa final'!$O$31),"")</f>
        <v/>
      </c>
      <c r="Z51" s="59" t="str">
        <f>IF(AND('Mapa final'!$Y$32="Muy Baja",'Mapa final'!$AA$32="Moderado"),CONCATENATE("R6C",'Mapa final'!$O$32),"")</f>
        <v/>
      </c>
      <c r="AA51" s="60" t="str">
        <f>IF(AND('Mapa final'!$Y$33="Muy Baja",'Mapa final'!$AA$33="Moderado"),CONCATENATE("R6C",'Mapa final'!$O$33),"")</f>
        <v/>
      </c>
      <c r="AB51" s="43" t="str">
        <f ca="1">IF(AND('Mapa final'!$Y$28="Muy Baja",'Mapa final'!$AA$28="Mayor"),CONCATENATE("R6C",'Mapa final'!$O$28),"")</f>
        <v/>
      </c>
      <c r="AC51" s="44" t="str">
        <f ca="1">IF(AND('Mapa final'!$Y$29="Muy Baja",'Mapa final'!$AA$29="Mayor"),CONCATENATE("R6C",'Mapa final'!$O$29),"")</f>
        <v/>
      </c>
      <c r="AD51" s="44" t="str">
        <f>IF(AND('Mapa final'!$Y$30="Muy Baja",'Mapa final'!$AA$30="Mayor"),CONCATENATE("R6C",'Mapa final'!$O$30),"")</f>
        <v/>
      </c>
      <c r="AE51" s="44" t="str">
        <f>IF(AND('Mapa final'!$Y$31="Muy Baja",'Mapa final'!$AA$31="Mayor"),CONCATENATE("R6C",'Mapa final'!$O$31),"")</f>
        <v/>
      </c>
      <c r="AF51" s="44" t="str">
        <f>IF(AND('Mapa final'!$Y$32="Muy Baja",'Mapa final'!$AA$32="Mayor"),CONCATENATE("R6C",'Mapa final'!$O$32),"")</f>
        <v/>
      </c>
      <c r="AG51" s="45" t="str">
        <f>IF(AND('Mapa final'!$Y$33="Muy Baja",'Mapa final'!$AA$33="Mayor"),CONCATENATE("R6C",'Mapa final'!$O$33),"")</f>
        <v/>
      </c>
      <c r="AH51" s="46" t="str">
        <f ca="1">IF(AND('Mapa final'!$Y$28="Muy Baja",'Mapa final'!$AA$28="Catastrófico"),CONCATENATE("R6C",'Mapa final'!$O$28),"")</f>
        <v/>
      </c>
      <c r="AI51" s="47" t="str">
        <f ca="1">IF(AND('Mapa final'!$Y$29="Muy Baja",'Mapa final'!$AA$29="Catastrófico"),CONCATENATE("R6C",'Mapa final'!$O$29),"")</f>
        <v/>
      </c>
      <c r="AJ51" s="47" t="str">
        <f>IF(AND('Mapa final'!$Y$30="Muy Baja",'Mapa final'!$AA$30="Catastrófico"),CONCATENATE("R6C",'Mapa final'!$O$30),"")</f>
        <v/>
      </c>
      <c r="AK51" s="47" t="str">
        <f>IF(AND('Mapa final'!$Y$31="Muy Baja",'Mapa final'!$AA$31="Catastrófico"),CONCATENATE("R6C",'Mapa final'!$O$31),"")</f>
        <v/>
      </c>
      <c r="AL51" s="47" t="str">
        <f>IF(AND('Mapa final'!$Y$32="Muy Baja",'Mapa final'!$AA$32="Catastrófico"),CONCATENATE("R6C",'Mapa final'!$O$32),"")</f>
        <v/>
      </c>
      <c r="AM51" s="48" t="str">
        <f>IF(AND('Mapa final'!$Y$33="Muy Baja",'Mapa final'!$AA$33="Catastrófico"),CONCATENATE("R6C",'Mapa final'!$O$33),"")</f>
        <v/>
      </c>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ht="15" customHeight="1" x14ac:dyDescent="0.25">
      <c r="A52" s="74"/>
      <c r="B52" s="237"/>
      <c r="C52" s="237"/>
      <c r="D52" s="238"/>
      <c r="E52" s="336"/>
      <c r="F52" s="335"/>
      <c r="G52" s="335"/>
      <c r="H52" s="335"/>
      <c r="I52" s="351"/>
      <c r="J52" s="67" t="str">
        <f ca="1">IF(AND('Mapa final'!$Y$34="Muy Baja",'Mapa final'!$AA$34="Leve"),CONCATENATE("R7C",'Mapa final'!$O$34),"")</f>
        <v/>
      </c>
      <c r="K52" s="68" t="str">
        <f ca="1">IF(AND('Mapa final'!$Y$35="Muy Baja",'Mapa final'!$AA$35="Leve"),CONCATENATE("R7C",'Mapa final'!$O$35),"")</f>
        <v/>
      </c>
      <c r="L52" s="68" t="str">
        <f>IF(AND('Mapa final'!$Y$36="Muy Baja",'Mapa final'!$AA$36="Leve"),CONCATENATE("R7C",'Mapa final'!$O$36),"")</f>
        <v/>
      </c>
      <c r="M52" s="68" t="str">
        <f>IF(AND('Mapa final'!$Y$37="Muy Baja",'Mapa final'!$AA$37="Leve"),CONCATENATE("R7C",'Mapa final'!$O$37),"")</f>
        <v/>
      </c>
      <c r="N52" s="68" t="str">
        <f>IF(AND('Mapa final'!$Y$38="Muy Baja",'Mapa final'!$AA$38="Leve"),CONCATENATE("R7C",'Mapa final'!$O$38),"")</f>
        <v/>
      </c>
      <c r="O52" s="69" t="str">
        <f>IF(AND('Mapa final'!$Y$39="Muy Baja",'Mapa final'!$AA$39="Leve"),CONCATENATE("R7C",'Mapa final'!$O$39),"")</f>
        <v/>
      </c>
      <c r="P52" s="67" t="str">
        <f ca="1">IF(AND('Mapa final'!$Y$34="Muy Baja",'Mapa final'!$AA$34="Menor"),CONCATENATE("R7C",'Mapa final'!$O$34),"")</f>
        <v/>
      </c>
      <c r="Q52" s="68" t="str">
        <f ca="1">IF(AND('Mapa final'!$Y$35="Muy Baja",'Mapa final'!$AA$35="Menor"),CONCATENATE("R7C",'Mapa final'!$O$35),"")</f>
        <v/>
      </c>
      <c r="R52" s="68" t="str">
        <f>IF(AND('Mapa final'!$Y$36="Muy Baja",'Mapa final'!$AA$36="Menor"),CONCATENATE("R7C",'Mapa final'!$O$36),"")</f>
        <v/>
      </c>
      <c r="S52" s="68" t="str">
        <f>IF(AND('Mapa final'!$Y$37="Muy Baja",'Mapa final'!$AA$37="Menor"),CONCATENATE("R7C",'Mapa final'!$O$37),"")</f>
        <v/>
      </c>
      <c r="T52" s="68" t="str">
        <f>IF(AND('Mapa final'!$Y$38="Muy Baja",'Mapa final'!$AA$38="Menor"),CONCATENATE("R7C",'Mapa final'!$O$38),"")</f>
        <v/>
      </c>
      <c r="U52" s="69" t="str">
        <f>IF(AND('Mapa final'!$Y$39="Muy Baja",'Mapa final'!$AA$39="Menor"),CONCATENATE("R7C",'Mapa final'!$O$39),"")</f>
        <v/>
      </c>
      <c r="V52" s="58" t="str">
        <f ca="1">IF(AND('Mapa final'!$Y$34="Muy Baja",'Mapa final'!$AA$34="Moderado"),CONCATENATE("R7C",'Mapa final'!$O$34),"")</f>
        <v/>
      </c>
      <c r="W52" s="59" t="str">
        <f ca="1">IF(AND('Mapa final'!$Y$35="Muy Baja",'Mapa final'!$AA$35="Moderado"),CONCATENATE("R7C",'Mapa final'!$O$35),"")</f>
        <v>R7C2</v>
      </c>
      <c r="X52" s="59" t="str">
        <f>IF(AND('Mapa final'!$Y$36="Muy Baja",'Mapa final'!$AA$36="Moderado"),CONCATENATE("R7C",'Mapa final'!$O$36),"")</f>
        <v/>
      </c>
      <c r="Y52" s="59" t="str">
        <f>IF(AND('Mapa final'!$Y$37="Muy Baja",'Mapa final'!$AA$37="Moderado"),CONCATENATE("R7C",'Mapa final'!$O$37),"")</f>
        <v/>
      </c>
      <c r="Z52" s="59" t="str">
        <f>IF(AND('Mapa final'!$Y$38="Muy Baja",'Mapa final'!$AA$38="Moderado"),CONCATENATE("R7C",'Mapa final'!$O$38),"")</f>
        <v/>
      </c>
      <c r="AA52" s="60" t="str">
        <f>IF(AND('Mapa final'!$Y$39="Muy Baja",'Mapa final'!$AA$39="Moderado"),CONCATENATE("R7C",'Mapa final'!$O$39),"")</f>
        <v/>
      </c>
      <c r="AB52" s="43" t="str">
        <f ca="1">IF(AND('Mapa final'!$Y$34="Muy Baja",'Mapa final'!$AA$34="Mayor"),CONCATENATE("R7C",'Mapa final'!$O$34),"")</f>
        <v/>
      </c>
      <c r="AC52" s="44" t="str">
        <f ca="1">IF(AND('Mapa final'!$Y$35="Muy Baja",'Mapa final'!$AA$35="Mayor"),CONCATENATE("R7C",'Mapa final'!$O$35),"")</f>
        <v/>
      </c>
      <c r="AD52" s="44" t="str">
        <f>IF(AND('Mapa final'!$Y$36="Muy Baja",'Mapa final'!$AA$36="Mayor"),CONCATENATE("R7C",'Mapa final'!$O$36),"")</f>
        <v/>
      </c>
      <c r="AE52" s="44" t="str">
        <f>IF(AND('Mapa final'!$Y$37="Muy Baja",'Mapa final'!$AA$37="Mayor"),CONCATENATE("R7C",'Mapa final'!$O$37),"")</f>
        <v/>
      </c>
      <c r="AF52" s="44" t="str">
        <f>IF(AND('Mapa final'!$Y$38="Muy Baja",'Mapa final'!$AA$38="Mayor"),CONCATENATE("R7C",'Mapa final'!$O$38),"")</f>
        <v/>
      </c>
      <c r="AG52" s="45" t="str">
        <f>IF(AND('Mapa final'!$Y$39="Muy Baja",'Mapa final'!$AA$39="Mayor"),CONCATENATE("R7C",'Mapa final'!$O$39),"")</f>
        <v/>
      </c>
      <c r="AH52" s="46" t="str">
        <f ca="1">IF(AND('Mapa final'!$Y$34="Muy Baja",'Mapa final'!$AA$34="Catastrófico"),CONCATENATE("R7C",'Mapa final'!$O$34),"")</f>
        <v/>
      </c>
      <c r="AI52" s="47" t="str">
        <f ca="1">IF(AND('Mapa final'!$Y$35="Muy Baja",'Mapa final'!$AA$35="Catastrófico"),CONCATENATE("R7C",'Mapa final'!$O$35),"")</f>
        <v/>
      </c>
      <c r="AJ52" s="47" t="str">
        <f>IF(AND('Mapa final'!$Y$36="Muy Baja",'Mapa final'!$AA$36="Catastrófico"),CONCATENATE("R7C",'Mapa final'!$O$36),"")</f>
        <v/>
      </c>
      <c r="AK52" s="47" t="str">
        <f>IF(AND('Mapa final'!$Y$37="Muy Baja",'Mapa final'!$AA$37="Catastrófico"),CONCATENATE("R7C",'Mapa final'!$O$37),"")</f>
        <v/>
      </c>
      <c r="AL52" s="47" t="str">
        <f>IF(AND('Mapa final'!$Y$38="Muy Baja",'Mapa final'!$AA$38="Catastrófico"),CONCATENATE("R7C",'Mapa final'!$O$38),"")</f>
        <v/>
      </c>
      <c r="AM52" s="48" t="str">
        <f>IF(AND('Mapa final'!$Y$39="Muy Baja",'Mapa final'!$AA$39="Catastrófico"),CONCATENATE("R7C",'Mapa final'!$O$39),"")</f>
        <v/>
      </c>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237"/>
      <c r="C53" s="237"/>
      <c r="D53" s="238"/>
      <c r="E53" s="336"/>
      <c r="F53" s="335"/>
      <c r="G53" s="335"/>
      <c r="H53" s="335"/>
      <c r="I53" s="351"/>
      <c r="J53" s="67" t="str">
        <f ca="1">IF(AND('Mapa final'!$Y$40="Muy Baja",'Mapa final'!$AA$40="Leve"),CONCATENATE("R8C",'Mapa final'!$O$40),"")</f>
        <v/>
      </c>
      <c r="K53" s="68" t="str">
        <f>IF(AND('Mapa final'!$Y$41="Muy Baja",'Mapa final'!$AA$41="Leve"),CONCATENATE("R8C",'Mapa final'!$O$41),"")</f>
        <v/>
      </c>
      <c r="L53" s="68" t="str">
        <f>IF(AND('Mapa final'!$Y$42="Muy Baja",'Mapa final'!$AA$42="Leve"),CONCATENATE("R8C",'Mapa final'!$O$42),"")</f>
        <v/>
      </c>
      <c r="M53" s="68" t="str">
        <f>IF(AND('Mapa final'!$Y$43="Muy Baja",'Mapa final'!$AA$43="Leve"),CONCATENATE("R8C",'Mapa final'!$O$43),"")</f>
        <v/>
      </c>
      <c r="N53" s="68" t="str">
        <f>IF(AND('Mapa final'!$Y$44="Muy Baja",'Mapa final'!$AA$44="Leve"),CONCATENATE("R8C",'Mapa final'!$O$44),"")</f>
        <v/>
      </c>
      <c r="O53" s="69" t="str">
        <f>IF(AND('Mapa final'!$Y$45="Muy Baja",'Mapa final'!$AA$45="Leve"),CONCATENATE("R8C",'Mapa final'!$O$45),"")</f>
        <v/>
      </c>
      <c r="P53" s="67" t="str">
        <f ca="1">IF(AND('Mapa final'!$Y$40="Muy Baja",'Mapa final'!$AA$40="Menor"),CONCATENATE("R8C",'Mapa final'!$O$40),"")</f>
        <v/>
      </c>
      <c r="Q53" s="68" t="str">
        <f>IF(AND('Mapa final'!$Y$41="Muy Baja",'Mapa final'!$AA$41="Menor"),CONCATENATE("R8C",'Mapa final'!$O$41),"")</f>
        <v/>
      </c>
      <c r="R53" s="68" t="str">
        <f>IF(AND('Mapa final'!$Y$42="Muy Baja",'Mapa final'!$AA$42="Menor"),CONCATENATE("R8C",'Mapa final'!$O$42),"")</f>
        <v/>
      </c>
      <c r="S53" s="68" t="str">
        <f>IF(AND('Mapa final'!$Y$43="Muy Baja",'Mapa final'!$AA$43="Menor"),CONCATENATE("R8C",'Mapa final'!$O$43),"")</f>
        <v/>
      </c>
      <c r="T53" s="68" t="str">
        <f>IF(AND('Mapa final'!$Y$44="Muy Baja",'Mapa final'!$AA$44="Menor"),CONCATENATE("R8C",'Mapa final'!$O$44),"")</f>
        <v/>
      </c>
      <c r="U53" s="69" t="str">
        <f>IF(AND('Mapa final'!$Y$45="Muy Baja",'Mapa final'!$AA$45="Menor"),CONCATENATE("R8C",'Mapa final'!$O$45),"")</f>
        <v/>
      </c>
      <c r="V53" s="58" t="str">
        <f ca="1">IF(AND('Mapa final'!$Y$40="Muy Baja",'Mapa final'!$AA$40="Moderado"),CONCATENATE("R8C",'Mapa final'!$O$40),"")</f>
        <v/>
      </c>
      <c r="W53" s="59" t="str">
        <f>IF(AND('Mapa final'!$Y$41="Muy Baja",'Mapa final'!$AA$41="Moderado"),CONCATENATE("R8C",'Mapa final'!$O$41),"")</f>
        <v/>
      </c>
      <c r="X53" s="59" t="str">
        <f>IF(AND('Mapa final'!$Y$42="Muy Baja",'Mapa final'!$AA$42="Moderado"),CONCATENATE("R8C",'Mapa final'!$O$42),"")</f>
        <v/>
      </c>
      <c r="Y53" s="59" t="str">
        <f>IF(AND('Mapa final'!$Y$43="Muy Baja",'Mapa final'!$AA$43="Moderado"),CONCATENATE("R8C",'Mapa final'!$O$43),"")</f>
        <v/>
      </c>
      <c r="Z53" s="59" t="str">
        <f>IF(AND('Mapa final'!$Y$44="Muy Baja",'Mapa final'!$AA$44="Moderado"),CONCATENATE("R8C",'Mapa final'!$O$44),"")</f>
        <v/>
      </c>
      <c r="AA53" s="60" t="str">
        <f>IF(AND('Mapa final'!$Y$45="Muy Baja",'Mapa final'!$AA$45="Moderado"),CONCATENATE("R8C",'Mapa final'!$O$45),"")</f>
        <v/>
      </c>
      <c r="AB53" s="43" t="str">
        <f ca="1">IF(AND('Mapa final'!$Y$40="Muy Baja",'Mapa final'!$AA$40="Mayor"),CONCATENATE("R8C",'Mapa final'!$O$40),"")</f>
        <v/>
      </c>
      <c r="AC53" s="44" t="str">
        <f>IF(AND('Mapa final'!$Y$41="Muy Baja",'Mapa final'!$AA$41="Mayor"),CONCATENATE("R8C",'Mapa final'!$O$41),"")</f>
        <v/>
      </c>
      <c r="AD53" s="44" t="str">
        <f>IF(AND('Mapa final'!$Y$42="Muy Baja",'Mapa final'!$AA$42="Mayor"),CONCATENATE("R8C",'Mapa final'!$O$42),"")</f>
        <v/>
      </c>
      <c r="AE53" s="44" t="str">
        <f>IF(AND('Mapa final'!$Y$43="Muy Baja",'Mapa final'!$AA$43="Mayor"),CONCATENATE("R8C",'Mapa final'!$O$43),"")</f>
        <v/>
      </c>
      <c r="AF53" s="44" t="str">
        <f>IF(AND('Mapa final'!$Y$44="Muy Baja",'Mapa final'!$AA$44="Mayor"),CONCATENATE("R8C",'Mapa final'!$O$44),"")</f>
        <v/>
      </c>
      <c r="AG53" s="45" t="str">
        <f>IF(AND('Mapa final'!$Y$45="Muy Baja",'Mapa final'!$AA$45="Mayor"),CONCATENATE("R8C",'Mapa final'!$O$45),"")</f>
        <v/>
      </c>
      <c r="AH53" s="46" t="str">
        <f ca="1">IF(AND('Mapa final'!$Y$40="Muy Baja",'Mapa final'!$AA$40="Catastrófico"),CONCATENATE("R8C",'Mapa final'!$O$40),"")</f>
        <v/>
      </c>
      <c r="AI53" s="47" t="str">
        <f>IF(AND('Mapa final'!$Y$41="Muy Baja",'Mapa final'!$AA$41="Catastrófico"),CONCATENATE("R8C",'Mapa final'!$O$41),"")</f>
        <v/>
      </c>
      <c r="AJ53" s="47" t="str">
        <f>IF(AND('Mapa final'!$Y$42="Muy Baja",'Mapa final'!$AA$42="Catastrófico"),CONCATENATE("R8C",'Mapa final'!$O$42),"")</f>
        <v/>
      </c>
      <c r="AK53" s="47" t="str">
        <f>IF(AND('Mapa final'!$Y$43="Muy Baja",'Mapa final'!$AA$43="Catastrófico"),CONCATENATE("R8C",'Mapa final'!$O$43),"")</f>
        <v/>
      </c>
      <c r="AL53" s="47" t="str">
        <f>IF(AND('Mapa final'!$Y$44="Muy Baja",'Mapa final'!$AA$44="Catastrófico"),CONCATENATE("R8C",'Mapa final'!$O$44),"")</f>
        <v/>
      </c>
      <c r="AM53" s="48" t="str">
        <f>IF(AND('Mapa final'!$Y$45="Muy Baja",'Mapa final'!$AA$45="Catastrófico"),CONCATENATE("R8C",'Mapa final'!$O$45),"")</f>
        <v/>
      </c>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237"/>
      <c r="C54" s="237"/>
      <c r="D54" s="238"/>
      <c r="E54" s="336"/>
      <c r="F54" s="335"/>
      <c r="G54" s="335"/>
      <c r="H54" s="335"/>
      <c r="I54" s="351"/>
      <c r="J54" s="67" t="str">
        <f ca="1">IF(AND('Mapa final'!$Y$46="Muy Baja",'Mapa final'!$AA$46="Leve"),CONCATENATE("R9C",'Mapa final'!$O$46),"")</f>
        <v/>
      </c>
      <c r="K54" s="68" t="str">
        <f ca="1">IF(AND('Mapa final'!$Y$47="Muy Baja",'Mapa final'!$AA$47="Leve"),CONCATENATE("R9C",'Mapa final'!$O$47),"")</f>
        <v/>
      </c>
      <c r="L54" s="68" t="str">
        <f>IF(AND('Mapa final'!$Y$48="Muy Baja",'Mapa final'!$AA$48="Leve"),CONCATENATE("R9C",'Mapa final'!$O$48),"")</f>
        <v/>
      </c>
      <c r="M54" s="68" t="str">
        <f>IF(AND('Mapa final'!$Y$49="Muy Baja",'Mapa final'!$AA$49="Leve"),CONCATENATE("R9C",'Mapa final'!$O$49),"")</f>
        <v/>
      </c>
      <c r="N54" s="68" t="str">
        <f>IF(AND('Mapa final'!$Y$50="Muy Baja",'Mapa final'!$AA$50="Leve"),CONCATENATE("R9C",'Mapa final'!$O$50),"")</f>
        <v/>
      </c>
      <c r="O54" s="69" t="str">
        <f>IF(AND('Mapa final'!$Y$51="Muy Baja",'Mapa final'!$AA$51="Leve"),CONCATENATE("R9C",'Mapa final'!$O$51),"")</f>
        <v/>
      </c>
      <c r="P54" s="67" t="str">
        <f ca="1">IF(AND('Mapa final'!$Y$46="Muy Baja",'Mapa final'!$AA$46="Menor"),CONCATENATE("R9C",'Mapa final'!$O$46),"")</f>
        <v/>
      </c>
      <c r="Q54" s="68" t="str">
        <f ca="1">IF(AND('Mapa final'!$Y$47="Muy Baja",'Mapa final'!$AA$47="Menor"),CONCATENATE("R9C",'Mapa final'!$O$47),"")</f>
        <v/>
      </c>
      <c r="R54" s="68" t="str">
        <f>IF(AND('Mapa final'!$Y$48="Muy Baja",'Mapa final'!$AA$48="Menor"),CONCATENATE("R9C",'Mapa final'!$O$48),"")</f>
        <v/>
      </c>
      <c r="S54" s="68" t="str">
        <f>IF(AND('Mapa final'!$Y$49="Muy Baja",'Mapa final'!$AA$49="Menor"),CONCATENATE("R9C",'Mapa final'!$O$49),"")</f>
        <v/>
      </c>
      <c r="T54" s="68" t="str">
        <f>IF(AND('Mapa final'!$Y$50="Muy Baja",'Mapa final'!$AA$50="Menor"),CONCATENATE("R9C",'Mapa final'!$O$50),"")</f>
        <v/>
      </c>
      <c r="U54" s="69" t="str">
        <f>IF(AND('Mapa final'!$Y$51="Muy Baja",'Mapa final'!$AA$51="Menor"),CONCATENATE("R9C",'Mapa final'!$O$51),"")</f>
        <v/>
      </c>
      <c r="V54" s="58" t="str">
        <f ca="1">IF(AND('Mapa final'!$Y$46="Muy Baja",'Mapa final'!$AA$46="Moderado"),CONCATENATE("R9C",'Mapa final'!$O$46),"")</f>
        <v/>
      </c>
      <c r="W54" s="59" t="str">
        <f ca="1">IF(AND('Mapa final'!$Y$47="Muy Baja",'Mapa final'!$AA$47="Moderado"),CONCATENATE("R9C",'Mapa final'!$O$47),"")</f>
        <v/>
      </c>
      <c r="X54" s="59" t="str">
        <f>IF(AND('Mapa final'!$Y$48="Muy Baja",'Mapa final'!$AA$48="Moderado"),CONCATENATE("R9C",'Mapa final'!$O$48),"")</f>
        <v/>
      </c>
      <c r="Y54" s="59" t="str">
        <f>IF(AND('Mapa final'!$Y$49="Muy Baja",'Mapa final'!$AA$49="Moderado"),CONCATENATE("R9C",'Mapa final'!$O$49),"")</f>
        <v/>
      </c>
      <c r="Z54" s="59" t="str">
        <f>IF(AND('Mapa final'!$Y$50="Muy Baja",'Mapa final'!$AA$50="Moderado"),CONCATENATE("R9C",'Mapa final'!$O$50),"")</f>
        <v/>
      </c>
      <c r="AA54" s="60" t="str">
        <f>IF(AND('Mapa final'!$Y$51="Muy Baja",'Mapa final'!$AA$51="Moderado"),CONCATENATE("R9C",'Mapa final'!$O$51),"")</f>
        <v/>
      </c>
      <c r="AB54" s="43" t="str">
        <f ca="1">IF(AND('Mapa final'!$Y$46="Muy Baja",'Mapa final'!$AA$46="Mayor"),CONCATENATE("R9C",'Mapa final'!$O$46),"")</f>
        <v/>
      </c>
      <c r="AC54" s="44" t="str">
        <f ca="1">IF(AND('Mapa final'!$Y$47="Muy Baja",'Mapa final'!$AA$47="Mayor"),CONCATENATE("R9C",'Mapa final'!$O$47),"")</f>
        <v/>
      </c>
      <c r="AD54" s="44" t="str">
        <f>IF(AND('Mapa final'!$Y$48="Muy Baja",'Mapa final'!$AA$48="Mayor"),CONCATENATE("R9C",'Mapa final'!$O$48),"")</f>
        <v/>
      </c>
      <c r="AE54" s="44" t="str">
        <f>IF(AND('Mapa final'!$Y$49="Muy Baja",'Mapa final'!$AA$49="Mayor"),CONCATENATE("R9C",'Mapa final'!$O$49),"")</f>
        <v/>
      </c>
      <c r="AF54" s="44" t="str">
        <f>IF(AND('Mapa final'!$Y$50="Muy Baja",'Mapa final'!$AA$50="Mayor"),CONCATENATE("R9C",'Mapa final'!$O$50),"")</f>
        <v/>
      </c>
      <c r="AG54" s="45" t="str">
        <f>IF(AND('Mapa final'!$Y$51="Muy Baja",'Mapa final'!$AA$51="Mayor"),CONCATENATE("R9C",'Mapa final'!$O$51),"")</f>
        <v/>
      </c>
      <c r="AH54" s="46" t="str">
        <f ca="1">IF(AND('Mapa final'!$Y$46="Muy Baja",'Mapa final'!$AA$46="Catastrófico"),CONCATENATE("R9C",'Mapa final'!$O$46),"")</f>
        <v/>
      </c>
      <c r="AI54" s="47" t="str">
        <f ca="1">IF(AND('Mapa final'!$Y$47="Muy Baja",'Mapa final'!$AA$47="Catastrófico"),CONCATENATE("R9C",'Mapa final'!$O$47),"")</f>
        <v/>
      </c>
      <c r="AJ54" s="47" t="str">
        <f>IF(AND('Mapa final'!$Y$48="Muy Baja",'Mapa final'!$AA$48="Catastrófico"),CONCATENATE("R9C",'Mapa final'!$O$48),"")</f>
        <v/>
      </c>
      <c r="AK54" s="47" t="str">
        <f>IF(AND('Mapa final'!$Y$49="Muy Baja",'Mapa final'!$AA$49="Catastrófico"),CONCATENATE("R9C",'Mapa final'!$O$49),"")</f>
        <v/>
      </c>
      <c r="AL54" s="47" t="str">
        <f>IF(AND('Mapa final'!$Y$50="Muy Baja",'Mapa final'!$AA$50="Catastrófico"),CONCATENATE("R9C",'Mapa final'!$O$50),"")</f>
        <v/>
      </c>
      <c r="AM54" s="48" t="str">
        <f>IF(AND('Mapa final'!$Y$51="Muy Baja",'Mapa final'!$AA$51="Catastrófico"),CONCATENATE("R9C",'Mapa final'!$O$51),"")</f>
        <v/>
      </c>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ht="15.75" customHeight="1" thickBot="1" x14ac:dyDescent="0.3">
      <c r="A55" s="74"/>
      <c r="B55" s="237"/>
      <c r="C55" s="237"/>
      <c r="D55" s="238"/>
      <c r="E55" s="337"/>
      <c r="F55" s="338"/>
      <c r="G55" s="338"/>
      <c r="H55" s="338"/>
      <c r="I55" s="352"/>
      <c r="J55" s="70" t="str">
        <f>IF(AND('Mapa final'!$Y$52="Muy Baja",'Mapa final'!$AA$52="Leve"),CONCATENATE("R10C",'Mapa final'!$O$52),"")</f>
        <v/>
      </c>
      <c r="K55" s="71" t="str">
        <f>IF(AND('Mapa final'!$Y$53="Muy Baja",'Mapa final'!$AA$53="Leve"),CONCATENATE("R10C",'Mapa final'!$O$53),"")</f>
        <v/>
      </c>
      <c r="L55" s="71" t="str">
        <f>IF(AND('Mapa final'!$Y$54="Muy Baja",'Mapa final'!$AA$54="Leve"),CONCATENATE("R10C",'Mapa final'!$O$54),"")</f>
        <v/>
      </c>
      <c r="M55" s="71" t="str">
        <f>IF(AND('Mapa final'!$Y$55="Muy Baja",'Mapa final'!$AA$55="Leve"),CONCATENATE("R10C",'Mapa final'!$O$55),"")</f>
        <v/>
      </c>
      <c r="N55" s="71" t="str">
        <f>IF(AND('Mapa final'!$Y$56="Muy Baja",'Mapa final'!$AA$56="Leve"),CONCATENATE("R10C",'Mapa final'!$O$56),"")</f>
        <v/>
      </c>
      <c r="O55" s="72" t="str">
        <f>IF(AND('Mapa final'!$Y$57="Muy Baja",'Mapa final'!$AA$57="Leve"),CONCATENATE("R10C",'Mapa final'!$O$57),"")</f>
        <v/>
      </c>
      <c r="P55" s="70" t="str">
        <f>IF(AND('Mapa final'!$Y$52="Muy Baja",'Mapa final'!$AA$52="Menor"),CONCATENATE("R10C",'Mapa final'!$O$52),"")</f>
        <v/>
      </c>
      <c r="Q55" s="71" t="str">
        <f>IF(AND('Mapa final'!$Y$53="Muy Baja",'Mapa final'!$AA$53="Menor"),CONCATENATE("R10C",'Mapa final'!$O$53),"")</f>
        <v/>
      </c>
      <c r="R55" s="71" t="str">
        <f>IF(AND('Mapa final'!$Y$54="Muy Baja",'Mapa final'!$AA$54="Menor"),CONCATENATE("R10C",'Mapa final'!$O$54),"")</f>
        <v/>
      </c>
      <c r="S55" s="71" t="str">
        <f>IF(AND('Mapa final'!$Y$55="Muy Baja",'Mapa final'!$AA$55="Menor"),CONCATENATE("R10C",'Mapa final'!$O$55),"")</f>
        <v/>
      </c>
      <c r="T55" s="71" t="str">
        <f>IF(AND('Mapa final'!$Y$56="Muy Baja",'Mapa final'!$AA$56="Menor"),CONCATENATE("R10C",'Mapa final'!$O$56),"")</f>
        <v/>
      </c>
      <c r="U55" s="72" t="str">
        <f>IF(AND('Mapa final'!$Y$57="Muy Baja",'Mapa final'!$AA$57="Menor"),CONCATENATE("R10C",'Mapa final'!$O$57),"")</f>
        <v/>
      </c>
      <c r="V55" s="61" t="str">
        <f>IF(AND('Mapa final'!$Y$52="Muy Baja",'Mapa final'!$AA$52="Moderado"),CONCATENATE("R10C",'Mapa final'!$O$52),"")</f>
        <v/>
      </c>
      <c r="W55" s="62" t="str">
        <f>IF(AND('Mapa final'!$Y$53="Muy Baja",'Mapa final'!$AA$53="Moderado"),CONCATENATE("R10C",'Mapa final'!$O$53),"")</f>
        <v/>
      </c>
      <c r="X55" s="62" t="str">
        <f>IF(AND('Mapa final'!$Y$54="Muy Baja",'Mapa final'!$AA$54="Moderado"),CONCATENATE("R10C",'Mapa final'!$O$54),"")</f>
        <v/>
      </c>
      <c r="Y55" s="62" t="str">
        <f>IF(AND('Mapa final'!$Y$55="Muy Baja",'Mapa final'!$AA$55="Moderado"),CONCATENATE("R10C",'Mapa final'!$O$55),"")</f>
        <v/>
      </c>
      <c r="Z55" s="62" t="str">
        <f>IF(AND('Mapa final'!$Y$56="Muy Baja",'Mapa final'!$AA$56="Moderado"),CONCATENATE("R10C",'Mapa final'!$O$56),"")</f>
        <v/>
      </c>
      <c r="AA55" s="63" t="str">
        <f>IF(AND('Mapa final'!$Y$57="Muy Baja",'Mapa final'!$AA$57="Moderado"),CONCATENATE("R10C",'Mapa final'!$O$57),"")</f>
        <v/>
      </c>
      <c r="AB55" s="49" t="str">
        <f>IF(AND('Mapa final'!$Y$52="Muy Baja",'Mapa final'!$AA$52="Mayor"),CONCATENATE("R10C",'Mapa final'!$O$52),"")</f>
        <v/>
      </c>
      <c r="AC55" s="50" t="str">
        <f>IF(AND('Mapa final'!$Y$53="Muy Baja",'Mapa final'!$AA$53="Mayor"),CONCATENATE("R10C",'Mapa final'!$O$53),"")</f>
        <v/>
      </c>
      <c r="AD55" s="50" t="str">
        <f>IF(AND('Mapa final'!$Y$54="Muy Baja",'Mapa final'!$AA$54="Mayor"),CONCATENATE("R10C",'Mapa final'!$O$54),"")</f>
        <v/>
      </c>
      <c r="AE55" s="50" t="str">
        <f>IF(AND('Mapa final'!$Y$55="Muy Baja",'Mapa final'!$AA$55="Mayor"),CONCATENATE("R10C",'Mapa final'!$O$55),"")</f>
        <v/>
      </c>
      <c r="AF55" s="50" t="str">
        <f>IF(AND('Mapa final'!$Y$56="Muy Baja",'Mapa final'!$AA$56="Mayor"),CONCATENATE("R10C",'Mapa final'!$O$56),"")</f>
        <v/>
      </c>
      <c r="AG55" s="51" t="str">
        <f>IF(AND('Mapa final'!$Y$57="Muy Baja",'Mapa final'!$AA$57="Mayor"),CONCATENATE("R10C",'Mapa final'!$O$57),"")</f>
        <v/>
      </c>
      <c r="AH55" s="52" t="str">
        <f>IF(AND('Mapa final'!$Y$52="Muy Baja",'Mapa final'!$AA$52="Catastrófico"),CONCATENATE("R10C",'Mapa final'!$O$52),"")</f>
        <v/>
      </c>
      <c r="AI55" s="53" t="str">
        <f>IF(AND('Mapa final'!$Y$53="Muy Baja",'Mapa final'!$AA$53="Catastrófico"),CONCATENATE("R10C",'Mapa final'!$O$53),"")</f>
        <v/>
      </c>
      <c r="AJ55" s="53" t="str">
        <f>IF(AND('Mapa final'!$Y$54="Muy Baja",'Mapa final'!$AA$54="Catastrófico"),CONCATENATE("R10C",'Mapa final'!$O$54),"")</f>
        <v/>
      </c>
      <c r="AK55" s="53" t="str">
        <f>IF(AND('Mapa final'!$Y$55="Muy Baja",'Mapa final'!$AA$55="Catastrófico"),CONCATENATE("R10C",'Mapa final'!$O$55),"")</f>
        <v/>
      </c>
      <c r="AL55" s="53" t="str">
        <f>IF(AND('Mapa final'!$Y$56="Muy Baja",'Mapa final'!$AA$56="Catastrófico"),CONCATENATE("R10C",'Mapa final'!$O$56),"")</f>
        <v/>
      </c>
      <c r="AM55" s="54" t="str">
        <f>IF(AND('Mapa final'!$Y$57="Muy Baja",'Mapa final'!$AA$57="Catastrófico"),CONCATENATE("R10C",'Mapa final'!$O$57),"")</f>
        <v/>
      </c>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332" t="s">
        <v>110</v>
      </c>
      <c r="K56" s="333"/>
      <c r="L56" s="333"/>
      <c r="M56" s="333"/>
      <c r="N56" s="333"/>
      <c r="O56" s="350"/>
      <c r="P56" s="332" t="s">
        <v>109</v>
      </c>
      <c r="Q56" s="333"/>
      <c r="R56" s="333"/>
      <c r="S56" s="333"/>
      <c r="T56" s="333"/>
      <c r="U56" s="350"/>
      <c r="V56" s="332" t="s">
        <v>108</v>
      </c>
      <c r="W56" s="333"/>
      <c r="X56" s="333"/>
      <c r="Y56" s="333"/>
      <c r="Z56" s="333"/>
      <c r="AA56" s="350"/>
      <c r="AB56" s="332" t="s">
        <v>107</v>
      </c>
      <c r="AC56" s="371"/>
      <c r="AD56" s="333"/>
      <c r="AE56" s="333"/>
      <c r="AF56" s="333"/>
      <c r="AG56" s="350"/>
      <c r="AH56" s="332" t="s">
        <v>106</v>
      </c>
      <c r="AI56" s="333"/>
      <c r="AJ56" s="333"/>
      <c r="AK56" s="333"/>
      <c r="AL56" s="333"/>
      <c r="AM56" s="350"/>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ht="15.75" thickBot="1" x14ac:dyDescent="0.3">
      <c r="A61" s="74"/>
      <c r="B61" s="74"/>
      <c r="C61" s="74"/>
      <c r="D61" s="74"/>
      <c r="E61" s="74"/>
      <c r="F61" s="74"/>
      <c r="G61" s="74"/>
      <c r="H61" s="74"/>
      <c r="I61" s="74"/>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row>
    <row r="63" spans="1:80" ht="15" customHeight="1" x14ac:dyDescent="0.25">
      <c r="A63" s="74"/>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4"/>
      <c r="AV63" s="74"/>
      <c r="AW63" s="74"/>
      <c r="AX63" s="74"/>
      <c r="AY63" s="74"/>
      <c r="AZ63" s="74"/>
      <c r="BA63" s="74"/>
      <c r="BB63" s="74"/>
      <c r="BC63" s="74"/>
      <c r="BD63" s="74"/>
      <c r="BE63" s="74"/>
      <c r="BF63" s="74"/>
      <c r="BG63" s="74"/>
      <c r="BH63" s="74"/>
    </row>
    <row r="64" spans="1:80" ht="15" customHeight="1" x14ac:dyDescent="0.25">
      <c r="A64" s="74"/>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4"/>
      <c r="AV64" s="74"/>
      <c r="AW64" s="74"/>
      <c r="AX64" s="74"/>
      <c r="AY64" s="74"/>
      <c r="AZ64" s="74"/>
      <c r="BA64" s="74"/>
      <c r="BB64" s="74"/>
      <c r="BC64" s="74"/>
      <c r="BD64" s="74"/>
      <c r="BE64" s="74"/>
      <c r="BF64" s="74"/>
      <c r="BG64" s="74"/>
      <c r="BH64" s="74"/>
    </row>
    <row r="65" spans="1:6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row>
    <row r="66" spans="1:6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row>
    <row r="67" spans="1:6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row>
    <row r="68" spans="1:6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row>
    <row r="69" spans="1:6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row>
    <row r="70" spans="1:6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row>
    <row r="71" spans="1:6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row>
    <row r="72" spans="1:6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row>
    <row r="73" spans="1:6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row>
    <row r="74" spans="1:6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row>
    <row r="75" spans="1:6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row>
    <row r="76" spans="1:6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row>
    <row r="77" spans="1:6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row>
    <row r="78" spans="1:6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row>
    <row r="79" spans="1:6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row>
    <row r="80" spans="1:6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row>
    <row r="81" spans="1:60"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row>
    <row r="82" spans="1:60"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row>
    <row r="83" spans="1:60"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row>
    <row r="84" spans="1:60"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row>
    <row r="85" spans="1:60"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row>
    <row r="86" spans="1:60"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row>
    <row r="87" spans="1:60"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row>
    <row r="88" spans="1:60"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row>
    <row r="89" spans="1:60"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row>
    <row r="90" spans="1:60"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row>
    <row r="91" spans="1:60"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row>
    <row r="92" spans="1:60"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row>
    <row r="93" spans="1:60"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row>
    <row r="94" spans="1:60"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row>
    <row r="95" spans="1:60"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row>
    <row r="96" spans="1:60"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row>
    <row r="97" spans="1:60"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row>
    <row r="98" spans="1:60"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row>
    <row r="99" spans="1:60"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row>
    <row r="100" spans="1:60"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row>
    <row r="101" spans="1:60"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row>
    <row r="102" spans="1:60"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row>
    <row r="103" spans="1:60"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row>
    <row r="104" spans="1:60"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row>
    <row r="105" spans="1:60"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row>
    <row r="106" spans="1:60"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row>
    <row r="107" spans="1:60"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row>
    <row r="108" spans="1:60"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row>
    <row r="109" spans="1:60"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row>
    <row r="110" spans="1:60"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row>
    <row r="111" spans="1:60"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row>
    <row r="112" spans="1:60"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row>
    <row r="113" spans="1:60"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row>
    <row r="114" spans="1:60"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row>
    <row r="115" spans="1:60"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row>
    <row r="116" spans="1:60"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row>
    <row r="117" spans="1:60"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row>
    <row r="118" spans="1:60"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row>
    <row r="119" spans="1:60"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row>
    <row r="120" spans="1:60"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row>
    <row r="121" spans="1:60"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row>
    <row r="122" spans="1:60" x14ac:dyDescent="0.25">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row>
    <row r="123" spans="1:60" x14ac:dyDescent="0.25">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row>
    <row r="124" spans="1:60" x14ac:dyDescent="0.25">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row>
    <row r="125" spans="1:60" x14ac:dyDescent="0.2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row>
    <row r="126" spans="1:60" x14ac:dyDescent="0.25">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row>
    <row r="127" spans="1:60" x14ac:dyDescent="0.2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row>
    <row r="128" spans="1:60" x14ac:dyDescent="0.25">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row>
    <row r="129" spans="1:60" x14ac:dyDescent="0.25">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row>
    <row r="130" spans="1:60" x14ac:dyDescent="0.25">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row>
    <row r="131" spans="1:60" x14ac:dyDescent="0.25">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row>
    <row r="132" spans="1:60" x14ac:dyDescent="0.25">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row>
    <row r="133" spans="1:60" x14ac:dyDescent="0.25">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row>
    <row r="134" spans="1:60" x14ac:dyDescent="0.25">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row>
    <row r="135" spans="1:60" x14ac:dyDescent="0.25">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row>
    <row r="136" spans="1:60" x14ac:dyDescent="0.25">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row>
    <row r="137" spans="1:60" x14ac:dyDescent="0.25">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row>
    <row r="138" spans="1:60" x14ac:dyDescent="0.25">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row>
    <row r="139" spans="1:60" x14ac:dyDescent="0.25">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row>
    <row r="140" spans="1:60" x14ac:dyDescent="0.25">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row>
    <row r="141" spans="1:60" x14ac:dyDescent="0.25">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row>
    <row r="142" spans="1:60" x14ac:dyDescent="0.25">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row>
    <row r="143" spans="1:60" x14ac:dyDescent="0.25">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row>
    <row r="144" spans="1:60" x14ac:dyDescent="0.25">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row>
    <row r="145" spans="1:60" x14ac:dyDescent="0.25">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row>
    <row r="146" spans="1:60" x14ac:dyDescent="0.25">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74"/>
      <c r="BC146" s="74"/>
      <c r="BD146" s="74"/>
      <c r="BE146" s="74"/>
      <c r="BF146" s="74"/>
      <c r="BG146" s="74"/>
      <c r="BH146" s="74"/>
    </row>
    <row r="147" spans="1:60" x14ac:dyDescent="0.25">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row>
    <row r="148" spans="1:60" x14ac:dyDescent="0.25">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row>
    <row r="149" spans="1:60" x14ac:dyDescent="0.25">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row>
    <row r="150" spans="1:60" x14ac:dyDescent="0.25">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row>
    <row r="151" spans="1:60" x14ac:dyDescent="0.25">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c r="AY151" s="74"/>
      <c r="AZ151" s="74"/>
      <c r="BA151" s="74"/>
      <c r="BB151" s="74"/>
      <c r="BC151" s="74"/>
      <c r="BD151" s="74"/>
      <c r="BE151" s="74"/>
      <c r="BF151" s="74"/>
      <c r="BG151" s="74"/>
      <c r="BH151" s="74"/>
    </row>
    <row r="152" spans="1:60" x14ac:dyDescent="0.25">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4"/>
      <c r="AP152" s="74"/>
      <c r="AQ152" s="74"/>
      <c r="AR152" s="74"/>
      <c r="AS152" s="74"/>
      <c r="AT152" s="74"/>
      <c r="AU152" s="74"/>
      <c r="AV152" s="74"/>
      <c r="AW152" s="74"/>
      <c r="AX152" s="74"/>
      <c r="AY152" s="74"/>
      <c r="AZ152" s="74"/>
      <c r="BA152" s="74"/>
      <c r="BB152" s="74"/>
      <c r="BC152" s="74"/>
      <c r="BD152" s="74"/>
      <c r="BE152" s="74"/>
      <c r="BF152" s="74"/>
      <c r="BG152" s="74"/>
      <c r="BH152" s="74"/>
    </row>
    <row r="153" spans="1:60" x14ac:dyDescent="0.25">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c r="AR153" s="74"/>
      <c r="AS153" s="74"/>
      <c r="AT153" s="74"/>
      <c r="AU153" s="74"/>
      <c r="AV153" s="74"/>
      <c r="AW153" s="74"/>
      <c r="AX153" s="74"/>
      <c r="AY153" s="74"/>
      <c r="AZ153" s="74"/>
      <c r="BA153" s="74"/>
      <c r="BB153" s="74"/>
      <c r="BC153" s="74"/>
      <c r="BD153" s="74"/>
      <c r="BE153" s="74"/>
      <c r="BF153" s="74"/>
      <c r="BG153" s="74"/>
      <c r="BH153" s="74"/>
    </row>
    <row r="154" spans="1:60" x14ac:dyDescent="0.25">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4"/>
      <c r="AP154" s="74"/>
      <c r="AQ154" s="74"/>
      <c r="AR154" s="74"/>
      <c r="AS154" s="74"/>
      <c r="AT154" s="74"/>
      <c r="AU154" s="74"/>
      <c r="AV154" s="74"/>
      <c r="AW154" s="74"/>
      <c r="AX154" s="74"/>
      <c r="AY154" s="74"/>
      <c r="AZ154" s="74"/>
      <c r="BA154" s="74"/>
      <c r="BB154" s="74"/>
      <c r="BC154" s="74"/>
      <c r="BD154" s="74"/>
      <c r="BE154" s="74"/>
      <c r="BF154" s="74"/>
      <c r="BG154" s="74"/>
      <c r="BH154" s="74"/>
    </row>
    <row r="155" spans="1:60" x14ac:dyDescent="0.25">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4"/>
      <c r="AL155" s="74"/>
      <c r="AM155" s="74"/>
      <c r="AN155" s="74"/>
      <c r="AO155" s="74"/>
      <c r="AP155" s="74"/>
      <c r="AQ155" s="74"/>
      <c r="AR155" s="74"/>
      <c r="AS155" s="74"/>
      <c r="AT155" s="74"/>
      <c r="AU155" s="74"/>
      <c r="AV155" s="74"/>
      <c r="AW155" s="74"/>
      <c r="AX155" s="74"/>
      <c r="AY155" s="74"/>
      <c r="AZ155" s="74"/>
      <c r="BA155" s="74"/>
      <c r="BB155" s="74"/>
      <c r="BC155" s="74"/>
      <c r="BD155" s="74"/>
      <c r="BE155" s="74"/>
      <c r="BF155" s="74"/>
      <c r="BG155" s="74"/>
      <c r="BH155" s="74"/>
    </row>
    <row r="156" spans="1:60" x14ac:dyDescent="0.25">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4"/>
      <c r="AL156" s="74"/>
      <c r="AM156" s="74"/>
      <c r="AN156" s="74"/>
      <c r="AO156" s="74"/>
      <c r="AP156" s="74"/>
      <c r="AQ156" s="74"/>
      <c r="AR156" s="74"/>
      <c r="AS156" s="74"/>
      <c r="AT156" s="74"/>
      <c r="AU156" s="74"/>
      <c r="AV156" s="74"/>
      <c r="AW156" s="74"/>
      <c r="AX156" s="74"/>
      <c r="AY156" s="74"/>
      <c r="AZ156" s="74"/>
      <c r="BA156" s="74"/>
      <c r="BB156" s="74"/>
      <c r="BC156" s="74"/>
      <c r="BD156" s="74"/>
      <c r="BE156" s="74"/>
      <c r="BF156" s="74"/>
      <c r="BG156" s="74"/>
      <c r="BH156" s="74"/>
    </row>
    <row r="157" spans="1:60" x14ac:dyDescent="0.25">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c r="AL157" s="74"/>
      <c r="AM157" s="74"/>
      <c r="AN157" s="74"/>
      <c r="AO157" s="74"/>
      <c r="AP157" s="74"/>
      <c r="AQ157" s="74"/>
      <c r="AR157" s="74"/>
      <c r="AS157" s="74"/>
      <c r="AT157" s="74"/>
      <c r="AU157" s="74"/>
      <c r="AV157" s="74"/>
      <c r="AW157" s="74"/>
      <c r="AX157" s="74"/>
      <c r="AY157" s="74"/>
      <c r="AZ157" s="74"/>
      <c r="BA157" s="74"/>
      <c r="BB157" s="74"/>
      <c r="BC157" s="74"/>
      <c r="BD157" s="74"/>
      <c r="BE157" s="74"/>
      <c r="BF157" s="74"/>
      <c r="BG157" s="74"/>
      <c r="BH157" s="74"/>
    </row>
    <row r="158" spans="1:60" x14ac:dyDescent="0.25">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c r="AR158" s="74"/>
      <c r="AS158" s="74"/>
      <c r="AT158" s="74"/>
      <c r="AU158" s="74"/>
      <c r="AV158" s="74"/>
      <c r="AW158" s="74"/>
      <c r="AX158" s="74"/>
      <c r="AY158" s="74"/>
      <c r="AZ158" s="74"/>
      <c r="BA158" s="74"/>
      <c r="BB158" s="74"/>
      <c r="BC158" s="74"/>
      <c r="BD158" s="74"/>
      <c r="BE158" s="74"/>
      <c r="BF158" s="74"/>
      <c r="BG158" s="74"/>
      <c r="BH158" s="74"/>
    </row>
    <row r="159" spans="1:60" x14ac:dyDescent="0.25">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c r="AL159" s="74"/>
      <c r="AM159" s="74"/>
      <c r="AN159" s="74"/>
      <c r="AO159" s="74"/>
      <c r="AP159" s="74"/>
      <c r="AQ159" s="74"/>
      <c r="AR159" s="74"/>
      <c r="AS159" s="74"/>
      <c r="AT159" s="74"/>
      <c r="AU159" s="74"/>
      <c r="AV159" s="74"/>
      <c r="AW159" s="74"/>
      <c r="AX159" s="74"/>
      <c r="AY159" s="74"/>
      <c r="AZ159" s="74"/>
      <c r="BA159" s="74"/>
      <c r="BB159" s="74"/>
      <c r="BC159" s="74"/>
      <c r="BD159" s="74"/>
      <c r="BE159" s="74"/>
      <c r="BF159" s="74"/>
      <c r="BG159" s="74"/>
      <c r="BH159" s="74"/>
    </row>
    <row r="160" spans="1:60" x14ac:dyDescent="0.25">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74"/>
      <c r="AS160" s="74"/>
      <c r="AT160" s="74"/>
      <c r="AU160" s="74"/>
      <c r="AV160" s="74"/>
      <c r="AW160" s="74"/>
      <c r="AX160" s="74"/>
      <c r="AY160" s="74"/>
      <c r="AZ160" s="74"/>
      <c r="BA160" s="74"/>
      <c r="BB160" s="74"/>
      <c r="BC160" s="74"/>
      <c r="BD160" s="74"/>
      <c r="BE160" s="74"/>
      <c r="BF160" s="74"/>
      <c r="BG160" s="74"/>
      <c r="BH160" s="74"/>
    </row>
    <row r="161" spans="1:60" x14ac:dyDescent="0.25">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R161" s="74"/>
      <c r="AS161" s="74"/>
      <c r="AT161" s="74"/>
      <c r="AU161" s="74"/>
      <c r="AV161" s="74"/>
      <c r="AW161" s="74"/>
      <c r="AX161" s="74"/>
      <c r="AY161" s="74"/>
      <c r="AZ161" s="74"/>
      <c r="BA161" s="74"/>
      <c r="BB161" s="74"/>
      <c r="BC161" s="74"/>
      <c r="BD161" s="74"/>
      <c r="BE161" s="74"/>
      <c r="BF161" s="74"/>
      <c r="BG161" s="74"/>
      <c r="BH161" s="74"/>
    </row>
    <row r="162" spans="1:60" x14ac:dyDescent="0.25">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c r="AL162" s="74"/>
      <c r="AM162" s="74"/>
      <c r="AN162" s="74"/>
      <c r="AO162" s="74"/>
      <c r="AP162" s="74"/>
      <c r="AQ162" s="74"/>
      <c r="AR162" s="74"/>
      <c r="AS162" s="74"/>
      <c r="AT162" s="74"/>
      <c r="AU162" s="74"/>
      <c r="AV162" s="74"/>
      <c r="AW162" s="74"/>
      <c r="AX162" s="74"/>
      <c r="AY162" s="74"/>
      <c r="AZ162" s="74"/>
      <c r="BA162" s="74"/>
      <c r="BB162" s="74"/>
      <c r="BC162" s="74"/>
      <c r="BD162" s="74"/>
      <c r="BE162" s="74"/>
      <c r="BF162" s="74"/>
      <c r="BG162" s="74"/>
      <c r="BH162" s="74"/>
    </row>
    <row r="163" spans="1:60" x14ac:dyDescent="0.25">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D163" s="74"/>
      <c r="BE163" s="74"/>
      <c r="BF163" s="74"/>
      <c r="BG163" s="74"/>
      <c r="BH163" s="74"/>
    </row>
    <row r="164" spans="1:60" x14ac:dyDescent="0.25">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74"/>
      <c r="AL164" s="74"/>
      <c r="AM164" s="74"/>
      <c r="AN164" s="74"/>
      <c r="AO164" s="74"/>
      <c r="AP164" s="74"/>
      <c r="AQ164" s="74"/>
      <c r="AR164" s="74"/>
      <c r="AS164" s="74"/>
      <c r="AT164" s="74"/>
      <c r="AU164" s="74"/>
      <c r="AV164" s="74"/>
      <c r="AW164" s="74"/>
      <c r="AX164" s="74"/>
      <c r="AY164" s="74"/>
      <c r="AZ164" s="74"/>
      <c r="BA164" s="74"/>
      <c r="BB164" s="74"/>
      <c r="BC164" s="74"/>
      <c r="BD164" s="74"/>
      <c r="BE164" s="74"/>
      <c r="BF164" s="74"/>
      <c r="BG164" s="74"/>
      <c r="BH164" s="74"/>
    </row>
    <row r="165" spans="1:60" x14ac:dyDescent="0.2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c r="AR165" s="74"/>
      <c r="AS165" s="74"/>
      <c r="AT165" s="74"/>
      <c r="AU165" s="74"/>
      <c r="AV165" s="74"/>
      <c r="AW165" s="74"/>
      <c r="AX165" s="74"/>
      <c r="AY165" s="74"/>
      <c r="AZ165" s="74"/>
      <c r="BA165" s="74"/>
      <c r="BB165" s="74"/>
      <c r="BC165" s="74"/>
      <c r="BD165" s="74"/>
      <c r="BE165" s="74"/>
      <c r="BF165" s="74"/>
      <c r="BG165" s="74"/>
      <c r="BH165" s="74"/>
    </row>
    <row r="166" spans="1:60" x14ac:dyDescent="0.25">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c r="AM166" s="74"/>
      <c r="AN166" s="74"/>
      <c r="AO166" s="74"/>
      <c r="AP166" s="74"/>
      <c r="AQ166" s="74"/>
      <c r="AR166" s="74"/>
      <c r="AS166" s="74"/>
      <c r="AT166" s="74"/>
      <c r="AU166" s="74"/>
      <c r="AV166" s="74"/>
      <c r="AW166" s="74"/>
      <c r="AX166" s="74"/>
      <c r="AY166" s="74"/>
      <c r="AZ166" s="74"/>
      <c r="BA166" s="74"/>
      <c r="BB166" s="74"/>
      <c r="BC166" s="74"/>
      <c r="BD166" s="74"/>
      <c r="BE166" s="74"/>
      <c r="BF166" s="74"/>
      <c r="BG166" s="74"/>
      <c r="BH166" s="74"/>
    </row>
    <row r="167" spans="1:60" x14ac:dyDescent="0.25">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74"/>
      <c r="AX167" s="74"/>
      <c r="AY167" s="74"/>
      <c r="AZ167" s="74"/>
      <c r="BA167" s="74"/>
      <c r="BB167" s="74"/>
      <c r="BC167" s="74"/>
      <c r="BD167" s="74"/>
      <c r="BE167" s="74"/>
      <c r="BF167" s="74"/>
      <c r="BG167" s="74"/>
      <c r="BH167" s="74"/>
    </row>
    <row r="168" spans="1:60" x14ac:dyDescent="0.25">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c r="AM168" s="74"/>
      <c r="AN168" s="74"/>
      <c r="AO168" s="74"/>
      <c r="AP168" s="74"/>
      <c r="AQ168" s="74"/>
      <c r="AR168" s="74"/>
      <c r="AS168" s="74"/>
      <c r="AT168" s="74"/>
      <c r="AU168" s="74"/>
      <c r="AV168" s="74"/>
      <c r="AW168" s="74"/>
      <c r="AX168" s="74"/>
      <c r="AY168" s="74"/>
      <c r="AZ168" s="74"/>
      <c r="BA168" s="74"/>
      <c r="BB168" s="74"/>
      <c r="BC168" s="74"/>
      <c r="BD168" s="74"/>
      <c r="BE168" s="74"/>
      <c r="BF168" s="74"/>
      <c r="BG168" s="74"/>
      <c r="BH168" s="74"/>
    </row>
    <row r="169" spans="1:60" x14ac:dyDescent="0.25">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74"/>
      <c r="AL169" s="74"/>
      <c r="AM169" s="74"/>
      <c r="AN169" s="74"/>
      <c r="AO169" s="74"/>
      <c r="AP169" s="74"/>
      <c r="AQ169" s="74"/>
      <c r="AR169" s="74"/>
      <c r="AS169" s="74"/>
      <c r="AT169" s="74"/>
      <c r="AU169" s="74"/>
      <c r="AV169" s="74"/>
      <c r="AW169" s="74"/>
      <c r="AX169" s="74"/>
      <c r="AY169" s="74"/>
      <c r="AZ169" s="74"/>
      <c r="BA169" s="74"/>
      <c r="BB169" s="74"/>
      <c r="BC169" s="74"/>
      <c r="BD169" s="74"/>
      <c r="BE169" s="74"/>
      <c r="BF169" s="74"/>
      <c r="BG169" s="74"/>
      <c r="BH169" s="74"/>
    </row>
    <row r="170" spans="1:60" x14ac:dyDescent="0.25">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c r="BC170" s="74"/>
      <c r="BD170" s="74"/>
      <c r="BE170" s="74"/>
      <c r="BF170" s="74"/>
      <c r="BG170" s="74"/>
      <c r="BH170" s="74"/>
    </row>
    <row r="171" spans="1:60" x14ac:dyDescent="0.25">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74"/>
      <c r="AL171" s="74"/>
      <c r="AM171" s="74"/>
      <c r="AN171" s="74"/>
      <c r="AO171" s="74"/>
      <c r="AP171" s="74"/>
      <c r="AQ171" s="74"/>
      <c r="AR171" s="74"/>
      <c r="AS171" s="74"/>
      <c r="AT171" s="74"/>
      <c r="AU171" s="74"/>
      <c r="AV171" s="74"/>
      <c r="AW171" s="74"/>
      <c r="AX171" s="74"/>
      <c r="AY171" s="74"/>
      <c r="AZ171" s="74"/>
      <c r="BA171" s="74"/>
      <c r="BB171" s="74"/>
      <c r="BC171" s="74"/>
      <c r="BD171" s="74"/>
      <c r="BE171" s="74"/>
      <c r="BF171" s="74"/>
      <c r="BG171" s="74"/>
      <c r="BH171" s="74"/>
    </row>
    <row r="172" spans="1:60" x14ac:dyDescent="0.25">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c r="BC172" s="74"/>
      <c r="BD172" s="74"/>
      <c r="BE172" s="74"/>
      <c r="BF172" s="74"/>
      <c r="BG172" s="74"/>
      <c r="BH172" s="74"/>
    </row>
    <row r="173" spans="1:60" x14ac:dyDescent="0.25">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c r="BD173" s="74"/>
      <c r="BE173" s="74"/>
      <c r="BF173" s="74"/>
      <c r="BG173" s="74"/>
      <c r="BH173" s="74"/>
    </row>
    <row r="174" spans="1:60" x14ac:dyDescent="0.25">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74"/>
      <c r="BE174" s="74"/>
      <c r="BF174" s="74"/>
      <c r="BG174" s="74"/>
      <c r="BH174" s="74"/>
    </row>
    <row r="175" spans="1:60" x14ac:dyDescent="0.25">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c r="AM175" s="74"/>
      <c r="AN175" s="74"/>
      <c r="AO175" s="74"/>
      <c r="AP175" s="74"/>
      <c r="AQ175" s="74"/>
      <c r="AR175" s="74"/>
      <c r="AS175" s="74"/>
      <c r="AT175" s="74"/>
      <c r="AU175" s="74"/>
      <c r="AV175" s="74"/>
      <c r="AW175" s="74"/>
      <c r="AX175" s="74"/>
      <c r="AY175" s="74"/>
      <c r="AZ175" s="74"/>
      <c r="BA175" s="74"/>
      <c r="BB175" s="74"/>
      <c r="BC175" s="74"/>
      <c r="BD175" s="74"/>
      <c r="BE175" s="74"/>
      <c r="BF175" s="74"/>
      <c r="BG175" s="74"/>
      <c r="BH175" s="74"/>
    </row>
    <row r="176" spans="1:60" x14ac:dyDescent="0.25">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row>
    <row r="177" spans="1:60" x14ac:dyDescent="0.25">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D177" s="74"/>
      <c r="BE177" s="74"/>
      <c r="BF177" s="74"/>
      <c r="BG177" s="74"/>
      <c r="BH177" s="74"/>
    </row>
    <row r="178" spans="1:60" x14ac:dyDescent="0.25">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c r="AM178" s="74"/>
      <c r="AN178" s="74"/>
      <c r="AO178" s="74"/>
      <c r="AP178" s="74"/>
      <c r="AQ178" s="74"/>
      <c r="AR178" s="74"/>
      <c r="AS178" s="74"/>
      <c r="AT178" s="74"/>
      <c r="AU178" s="74"/>
      <c r="AV178" s="74"/>
      <c r="AW178" s="74"/>
      <c r="AX178" s="74"/>
      <c r="AY178" s="74"/>
      <c r="AZ178" s="74"/>
      <c r="BA178" s="74"/>
      <c r="BB178" s="74"/>
      <c r="BC178" s="74"/>
      <c r="BD178" s="74"/>
      <c r="BE178" s="74"/>
      <c r="BF178" s="74"/>
      <c r="BG178" s="74"/>
      <c r="BH178" s="74"/>
    </row>
    <row r="179" spans="1:60" x14ac:dyDescent="0.25">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c r="AL179" s="74"/>
      <c r="AM179" s="74"/>
      <c r="AN179" s="74"/>
      <c r="AO179" s="74"/>
      <c r="AP179" s="74"/>
      <c r="AQ179" s="74"/>
      <c r="AR179" s="74"/>
      <c r="AS179" s="74"/>
      <c r="AT179" s="74"/>
      <c r="AU179" s="74"/>
      <c r="AV179" s="74"/>
      <c r="AW179" s="74"/>
      <c r="AX179" s="74"/>
      <c r="AY179" s="74"/>
      <c r="AZ179" s="74"/>
      <c r="BA179" s="74"/>
      <c r="BB179" s="74"/>
      <c r="BC179" s="74"/>
      <c r="BD179" s="74"/>
      <c r="BE179" s="74"/>
      <c r="BF179" s="74"/>
      <c r="BG179" s="74"/>
      <c r="BH179" s="74"/>
    </row>
    <row r="180" spans="1:60" x14ac:dyDescent="0.25">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c r="AO180" s="74"/>
      <c r="AP180" s="74"/>
      <c r="AQ180" s="74"/>
      <c r="AR180" s="74"/>
      <c r="AS180" s="74"/>
      <c r="AT180" s="74"/>
      <c r="AU180" s="74"/>
      <c r="AV180" s="74"/>
      <c r="AW180" s="74"/>
      <c r="AX180" s="74"/>
      <c r="AY180" s="74"/>
      <c r="AZ180" s="74"/>
      <c r="BA180" s="74"/>
      <c r="BB180" s="74"/>
      <c r="BC180" s="74"/>
      <c r="BD180" s="74"/>
      <c r="BE180" s="74"/>
      <c r="BF180" s="74"/>
      <c r="BG180" s="74"/>
      <c r="BH180" s="74"/>
    </row>
    <row r="181" spans="1:60" x14ac:dyDescent="0.25">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c r="BC181" s="74"/>
      <c r="BD181" s="74"/>
      <c r="BE181" s="74"/>
      <c r="BF181" s="74"/>
      <c r="BG181" s="74"/>
      <c r="BH181" s="74"/>
    </row>
    <row r="182" spans="1:60" x14ac:dyDescent="0.25">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c r="BC182" s="74"/>
      <c r="BD182" s="74"/>
      <c r="BE182" s="74"/>
      <c r="BF182" s="74"/>
      <c r="BG182" s="74"/>
      <c r="BH182" s="74"/>
    </row>
    <row r="183" spans="1:60" x14ac:dyDescent="0.25">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c r="AL183" s="74"/>
      <c r="AM183" s="74"/>
      <c r="AN183" s="74"/>
      <c r="AO183" s="74"/>
      <c r="AP183" s="74"/>
      <c r="AQ183" s="74"/>
      <c r="AR183" s="74"/>
      <c r="AS183" s="74"/>
      <c r="AT183" s="74"/>
      <c r="AU183" s="74"/>
      <c r="AV183" s="74"/>
      <c r="AW183" s="74"/>
      <c r="AX183" s="74"/>
      <c r="AY183" s="74"/>
      <c r="AZ183" s="74"/>
      <c r="BA183" s="74"/>
      <c r="BB183" s="74"/>
      <c r="BC183" s="74"/>
      <c r="BD183" s="74"/>
      <c r="BE183" s="74"/>
      <c r="BF183" s="74"/>
      <c r="BG183" s="74"/>
      <c r="BH183" s="74"/>
    </row>
    <row r="184" spans="1:60" x14ac:dyDescent="0.25">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c r="BC184" s="74"/>
      <c r="BD184" s="74"/>
      <c r="BE184" s="74"/>
      <c r="BF184" s="74"/>
      <c r="BG184" s="74"/>
      <c r="BH184" s="74"/>
    </row>
    <row r="185" spans="1:60" x14ac:dyDescent="0.2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c r="BC185" s="74"/>
      <c r="BD185" s="74"/>
      <c r="BE185" s="74"/>
      <c r="BF185" s="74"/>
      <c r="BG185" s="74"/>
      <c r="BH185" s="74"/>
    </row>
    <row r="186" spans="1:60" x14ac:dyDescent="0.25">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c r="BC186" s="74"/>
      <c r="BD186" s="74"/>
      <c r="BE186" s="74"/>
      <c r="BF186" s="74"/>
      <c r="BG186" s="74"/>
      <c r="BH186" s="74"/>
    </row>
    <row r="187" spans="1:60" x14ac:dyDescent="0.25">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c r="BC187" s="74"/>
      <c r="BD187" s="74"/>
      <c r="BE187" s="74"/>
      <c r="BF187" s="74"/>
      <c r="BG187" s="74"/>
      <c r="BH187" s="74"/>
    </row>
    <row r="188" spans="1:60" x14ac:dyDescent="0.25">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c r="BC188" s="74"/>
      <c r="BD188" s="74"/>
      <c r="BE188" s="74"/>
      <c r="BF188" s="74"/>
      <c r="BG188" s="74"/>
      <c r="BH188" s="74"/>
    </row>
    <row r="189" spans="1:60" x14ac:dyDescent="0.25">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c r="BC189" s="74"/>
      <c r="BD189" s="74"/>
      <c r="BE189" s="74"/>
      <c r="BF189" s="74"/>
      <c r="BG189" s="74"/>
      <c r="BH189" s="74"/>
    </row>
    <row r="190" spans="1:60" x14ac:dyDescent="0.25">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c r="BC190" s="74"/>
      <c r="BD190" s="74"/>
      <c r="BE190" s="74"/>
      <c r="BF190" s="74"/>
      <c r="BG190" s="74"/>
      <c r="BH190" s="74"/>
    </row>
    <row r="191" spans="1:60" x14ac:dyDescent="0.25">
      <c r="A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c r="BD191" s="74"/>
      <c r="BE191" s="74"/>
      <c r="BF191" s="74"/>
      <c r="BG191" s="74"/>
      <c r="BH191" s="74"/>
    </row>
    <row r="192" spans="1:60" x14ac:dyDescent="0.25">
      <c r="A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c r="BC192" s="74"/>
      <c r="BD192" s="74"/>
      <c r="BE192" s="74"/>
      <c r="BF192" s="74"/>
      <c r="BG192" s="74"/>
      <c r="BH192" s="74"/>
    </row>
    <row r="193" spans="1:60" x14ac:dyDescent="0.25">
      <c r="A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c r="BC193" s="74"/>
      <c r="BD193" s="74"/>
      <c r="BE193" s="74"/>
      <c r="BF193" s="74"/>
      <c r="BG193" s="74"/>
      <c r="BH193" s="74"/>
    </row>
    <row r="194" spans="1:60" x14ac:dyDescent="0.25">
      <c r="A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c r="AL194" s="74"/>
      <c r="AM194" s="74"/>
      <c r="AN194" s="74"/>
      <c r="AO194" s="74"/>
      <c r="AP194" s="74"/>
      <c r="AQ194" s="74"/>
      <c r="AR194" s="74"/>
      <c r="AS194" s="74"/>
      <c r="AT194" s="74"/>
      <c r="AU194" s="74"/>
      <c r="AV194" s="74"/>
      <c r="AW194" s="74"/>
      <c r="AX194" s="74"/>
      <c r="AY194" s="74"/>
      <c r="AZ194" s="74"/>
      <c r="BA194" s="74"/>
      <c r="BB194" s="74"/>
      <c r="BC194" s="74"/>
      <c r="BD194" s="74"/>
      <c r="BE194" s="74"/>
      <c r="BF194" s="74"/>
      <c r="BG194" s="74"/>
      <c r="BH194" s="74"/>
    </row>
    <row r="195" spans="1:60" x14ac:dyDescent="0.25">
      <c r="A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c r="AQ195" s="74"/>
      <c r="AR195" s="74"/>
      <c r="AS195" s="74"/>
      <c r="AT195" s="74"/>
      <c r="AU195" s="74"/>
      <c r="AV195" s="74"/>
      <c r="AW195" s="74"/>
      <c r="AX195" s="74"/>
      <c r="AY195" s="74"/>
      <c r="AZ195" s="74"/>
      <c r="BA195" s="74"/>
      <c r="BB195" s="74"/>
      <c r="BC195" s="74"/>
      <c r="BD195" s="74"/>
      <c r="BE195" s="74"/>
      <c r="BF195" s="74"/>
      <c r="BG195" s="74"/>
      <c r="BH195" s="74"/>
    </row>
    <row r="196" spans="1:60" x14ac:dyDescent="0.25">
      <c r="A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c r="BC196" s="74"/>
      <c r="BD196" s="74"/>
      <c r="BE196" s="74"/>
      <c r="BF196" s="74"/>
      <c r="BG196" s="74"/>
      <c r="BH196" s="74"/>
    </row>
    <row r="197" spans="1:60" x14ac:dyDescent="0.25">
      <c r="A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c r="AL197" s="74"/>
      <c r="AM197" s="74"/>
      <c r="AN197" s="74"/>
      <c r="AO197" s="74"/>
      <c r="AP197" s="74"/>
      <c r="AQ197" s="74"/>
      <c r="AR197" s="74"/>
      <c r="AS197" s="74"/>
      <c r="AT197" s="74"/>
      <c r="AU197" s="74"/>
      <c r="AV197" s="74"/>
      <c r="AW197" s="74"/>
      <c r="AX197" s="74"/>
      <c r="AY197" s="74"/>
      <c r="AZ197" s="74"/>
      <c r="BA197" s="74"/>
      <c r="BB197" s="74"/>
      <c r="BC197" s="74"/>
      <c r="BD197" s="74"/>
      <c r="BE197" s="74"/>
      <c r="BF197" s="74"/>
      <c r="BG197" s="74"/>
      <c r="BH197" s="74"/>
    </row>
    <row r="198" spans="1:60" x14ac:dyDescent="0.25">
      <c r="A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P198" s="74"/>
      <c r="AQ198" s="74"/>
      <c r="AR198" s="74"/>
      <c r="AS198" s="74"/>
      <c r="AT198" s="74"/>
      <c r="AU198" s="74"/>
      <c r="AV198" s="74"/>
      <c r="AW198" s="74"/>
      <c r="AX198" s="74"/>
      <c r="AY198" s="74"/>
      <c r="AZ198" s="74"/>
      <c r="BA198" s="74"/>
      <c r="BB198" s="74"/>
      <c r="BC198" s="74"/>
      <c r="BD198" s="74"/>
      <c r="BE198" s="74"/>
      <c r="BF198" s="74"/>
      <c r="BG198" s="74"/>
      <c r="BH198" s="74"/>
    </row>
    <row r="199" spans="1:60" x14ac:dyDescent="0.25">
      <c r="A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c r="AL199" s="74"/>
      <c r="AM199" s="74"/>
      <c r="AN199" s="74"/>
      <c r="AO199" s="74"/>
      <c r="AP199" s="74"/>
      <c r="AQ199" s="74"/>
      <c r="AR199" s="74"/>
      <c r="AS199" s="74"/>
      <c r="AT199" s="74"/>
      <c r="AU199" s="74"/>
      <c r="AV199" s="74"/>
      <c r="AW199" s="74"/>
      <c r="AX199" s="74"/>
      <c r="AY199" s="74"/>
      <c r="AZ199" s="74"/>
      <c r="BA199" s="74"/>
      <c r="BB199" s="74"/>
      <c r="BC199" s="74"/>
      <c r="BD199" s="74"/>
      <c r="BE199" s="74"/>
      <c r="BF199" s="74"/>
      <c r="BG199" s="74"/>
      <c r="BH199" s="74"/>
    </row>
    <row r="200" spans="1:60" x14ac:dyDescent="0.25">
      <c r="A200" s="74"/>
      <c r="J200" s="74"/>
      <c r="K200" s="74"/>
      <c r="L200" s="74"/>
      <c r="M200" s="74"/>
      <c r="N200" s="74"/>
      <c r="O200" s="74"/>
      <c r="P200" s="74"/>
      <c r="Q200" s="74"/>
      <c r="R200" s="74"/>
      <c r="S200" s="74"/>
      <c r="T200" s="74"/>
      <c r="U200" s="74"/>
      <c r="V200" s="74"/>
      <c r="W200" s="74"/>
      <c r="X200" s="74"/>
      <c r="Y200" s="74"/>
      <c r="Z200" s="74"/>
      <c r="AA200" s="74"/>
      <c r="AB200" s="74"/>
      <c r="AC200" s="74"/>
      <c r="AD200" s="74"/>
      <c r="AE200" s="74"/>
      <c r="AF200" s="74"/>
      <c r="AG200" s="74"/>
      <c r="AH200" s="74"/>
      <c r="AI200" s="74"/>
      <c r="AJ200" s="74"/>
      <c r="AK200" s="74"/>
      <c r="AL200" s="74"/>
      <c r="AM200" s="74"/>
      <c r="AN200" s="74"/>
      <c r="AO200" s="74"/>
      <c r="AP200" s="74"/>
      <c r="AQ200" s="74"/>
      <c r="AR200" s="74"/>
      <c r="AS200" s="74"/>
      <c r="AT200" s="74"/>
      <c r="AU200" s="74"/>
      <c r="AV200" s="74"/>
      <c r="AW200" s="74"/>
      <c r="AX200" s="74"/>
      <c r="AY200" s="74"/>
      <c r="AZ200" s="74"/>
      <c r="BA200" s="74"/>
      <c r="BB200" s="74"/>
      <c r="BC200" s="74"/>
      <c r="BD200" s="74"/>
      <c r="BE200" s="74"/>
      <c r="BF200" s="74"/>
      <c r="BG200" s="74"/>
      <c r="BH200" s="74"/>
    </row>
    <row r="201" spans="1:60" x14ac:dyDescent="0.25">
      <c r="A201" s="74"/>
      <c r="J201" s="74"/>
      <c r="K201" s="74"/>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74"/>
      <c r="AL201" s="74"/>
      <c r="AM201" s="74"/>
      <c r="AN201" s="74"/>
      <c r="AO201" s="74"/>
      <c r="AP201" s="74"/>
      <c r="AQ201" s="74"/>
      <c r="AR201" s="74"/>
      <c r="AS201" s="74"/>
      <c r="AT201" s="74"/>
      <c r="AU201" s="74"/>
      <c r="AV201" s="74"/>
      <c r="AW201" s="74"/>
      <c r="AX201" s="74"/>
      <c r="AY201" s="74"/>
      <c r="AZ201" s="74"/>
      <c r="BA201" s="74"/>
      <c r="BB201" s="74"/>
      <c r="BC201" s="74"/>
      <c r="BD201" s="74"/>
      <c r="BE201" s="74"/>
      <c r="BF201" s="74"/>
      <c r="BG201" s="74"/>
      <c r="BH201" s="74"/>
    </row>
    <row r="202" spans="1:60" x14ac:dyDescent="0.25">
      <c r="A202" s="74"/>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c r="AL202" s="74"/>
      <c r="AM202" s="74"/>
      <c r="AN202" s="74"/>
      <c r="AO202" s="74"/>
      <c r="AP202" s="74"/>
      <c r="AQ202" s="74"/>
      <c r="AR202" s="74"/>
      <c r="AS202" s="74"/>
      <c r="AT202" s="74"/>
      <c r="AU202" s="74"/>
      <c r="AV202" s="74"/>
      <c r="AW202" s="74"/>
      <c r="AX202" s="74"/>
      <c r="AY202" s="74"/>
      <c r="AZ202" s="74"/>
      <c r="BA202" s="74"/>
      <c r="BB202" s="74"/>
      <c r="BC202" s="74"/>
      <c r="BD202" s="74"/>
      <c r="BE202" s="74"/>
      <c r="BF202" s="74"/>
      <c r="BG202" s="74"/>
      <c r="BH202" s="74"/>
    </row>
    <row r="203" spans="1:60" x14ac:dyDescent="0.25">
      <c r="A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c r="AL203" s="74"/>
      <c r="AM203" s="74"/>
      <c r="AN203" s="74"/>
      <c r="AO203" s="74"/>
      <c r="AP203" s="74"/>
      <c r="AQ203" s="74"/>
      <c r="AR203" s="74"/>
      <c r="AS203" s="74"/>
      <c r="AT203" s="74"/>
      <c r="AU203" s="74"/>
      <c r="AV203" s="74"/>
      <c r="AW203" s="74"/>
      <c r="AX203" s="74"/>
      <c r="AY203" s="74"/>
      <c r="AZ203" s="74"/>
      <c r="BA203" s="74"/>
      <c r="BB203" s="74"/>
      <c r="BC203" s="74"/>
      <c r="BD203" s="74"/>
      <c r="BE203" s="74"/>
      <c r="BF203" s="74"/>
      <c r="BG203" s="74"/>
      <c r="BH203" s="74"/>
    </row>
    <row r="204" spans="1:60" x14ac:dyDescent="0.25">
      <c r="A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74"/>
      <c r="BH204" s="74"/>
    </row>
    <row r="205" spans="1:60" x14ac:dyDescent="0.25">
      <c r="A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c r="AM205" s="74"/>
      <c r="AN205" s="74"/>
      <c r="AO205" s="74"/>
      <c r="AP205" s="74"/>
      <c r="AQ205" s="74"/>
      <c r="AR205" s="74"/>
      <c r="AS205" s="74"/>
      <c r="AT205" s="74"/>
      <c r="AU205" s="74"/>
      <c r="AV205" s="74"/>
      <c r="AW205" s="74"/>
      <c r="AX205" s="74"/>
      <c r="AY205" s="74"/>
      <c r="AZ205" s="74"/>
      <c r="BA205" s="74"/>
      <c r="BB205" s="74"/>
      <c r="BC205" s="74"/>
      <c r="BD205" s="74"/>
      <c r="BE205" s="74"/>
      <c r="BF205" s="74"/>
      <c r="BG205" s="74"/>
      <c r="BH205" s="74"/>
    </row>
    <row r="206" spans="1:60" x14ac:dyDescent="0.25">
      <c r="A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74"/>
      <c r="BF206" s="74"/>
      <c r="BG206" s="74"/>
      <c r="BH206" s="74"/>
    </row>
    <row r="207" spans="1:60" x14ac:dyDescent="0.25">
      <c r="A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4"/>
      <c r="AP207" s="74"/>
      <c r="AQ207" s="74"/>
      <c r="AR207" s="74"/>
      <c r="AS207" s="74"/>
      <c r="AT207" s="74"/>
      <c r="AU207" s="74"/>
      <c r="AV207" s="74"/>
      <c r="AW207" s="74"/>
      <c r="AX207" s="74"/>
      <c r="AY207" s="74"/>
      <c r="AZ207" s="74"/>
      <c r="BA207" s="74"/>
      <c r="BB207" s="74"/>
      <c r="BC207" s="74"/>
      <c r="BD207" s="74"/>
      <c r="BE207" s="74"/>
      <c r="BF207" s="74"/>
      <c r="BG207" s="74"/>
      <c r="BH207" s="74"/>
    </row>
    <row r="208" spans="1:60" x14ac:dyDescent="0.25">
      <c r="A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c r="AL208" s="74"/>
      <c r="AM208" s="74"/>
      <c r="AN208" s="74"/>
      <c r="AO208" s="74"/>
      <c r="AP208" s="74"/>
      <c r="AQ208" s="74"/>
      <c r="AR208" s="74"/>
      <c r="AS208" s="74"/>
      <c r="AT208" s="74"/>
      <c r="AU208" s="74"/>
      <c r="AV208" s="74"/>
      <c r="AW208" s="74"/>
      <c r="AX208" s="74"/>
      <c r="AY208" s="74"/>
      <c r="AZ208" s="74"/>
      <c r="BA208" s="74"/>
      <c r="BB208" s="74"/>
      <c r="BC208" s="74"/>
      <c r="BD208" s="74"/>
      <c r="BE208" s="74"/>
      <c r="BF208" s="74"/>
      <c r="BG208" s="74"/>
      <c r="BH208" s="74"/>
    </row>
    <row r="209" spans="1:60" x14ac:dyDescent="0.25">
      <c r="A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c r="AM209" s="74"/>
      <c r="AN209" s="74"/>
      <c r="AO209" s="74"/>
      <c r="AP209" s="74"/>
      <c r="AQ209" s="74"/>
      <c r="AR209" s="74"/>
      <c r="AS209" s="74"/>
      <c r="AT209" s="74"/>
      <c r="AU209" s="74"/>
      <c r="AV209" s="74"/>
      <c r="AW209" s="74"/>
      <c r="AX209" s="74"/>
      <c r="AY209" s="74"/>
      <c r="AZ209" s="74"/>
      <c r="BA209" s="74"/>
      <c r="BB209" s="74"/>
      <c r="BC209" s="74"/>
      <c r="BD209" s="74"/>
      <c r="BE209" s="74"/>
      <c r="BF209" s="74"/>
      <c r="BG209" s="74"/>
      <c r="BH209" s="74"/>
    </row>
    <row r="210" spans="1:60" x14ac:dyDescent="0.25">
      <c r="A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c r="AL210" s="74"/>
      <c r="AM210" s="74"/>
      <c r="AN210" s="74"/>
      <c r="AO210" s="74"/>
      <c r="AP210" s="74"/>
      <c r="AQ210" s="74"/>
      <c r="AR210" s="74"/>
      <c r="AS210" s="74"/>
      <c r="AT210" s="74"/>
      <c r="AU210" s="74"/>
      <c r="AV210" s="74"/>
      <c r="AW210" s="74"/>
      <c r="AX210" s="74"/>
      <c r="AY210" s="74"/>
      <c r="AZ210" s="74"/>
      <c r="BA210" s="74"/>
      <c r="BB210" s="74"/>
      <c r="BC210" s="74"/>
      <c r="BD210" s="74"/>
      <c r="BE210" s="74"/>
      <c r="BF210" s="74"/>
      <c r="BG210" s="74"/>
      <c r="BH210" s="74"/>
    </row>
    <row r="211" spans="1:60" x14ac:dyDescent="0.25">
      <c r="A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c r="AL211" s="74"/>
      <c r="AM211" s="74"/>
      <c r="AN211" s="74"/>
      <c r="AO211" s="74"/>
      <c r="AP211" s="74"/>
      <c r="AQ211" s="74"/>
      <c r="AR211" s="74"/>
      <c r="AS211" s="74"/>
      <c r="AT211" s="74"/>
      <c r="AU211" s="74"/>
      <c r="AV211" s="74"/>
      <c r="AW211" s="74"/>
      <c r="AX211" s="74"/>
      <c r="AY211" s="74"/>
      <c r="AZ211" s="74"/>
      <c r="BA211" s="74"/>
      <c r="BB211" s="74"/>
      <c r="BC211" s="74"/>
      <c r="BD211" s="74"/>
      <c r="BE211" s="74"/>
      <c r="BF211" s="74"/>
      <c r="BG211" s="74"/>
      <c r="BH211" s="74"/>
    </row>
    <row r="212" spans="1:60" x14ac:dyDescent="0.25">
      <c r="A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c r="AQ212" s="74"/>
      <c r="AR212" s="74"/>
      <c r="AS212" s="74"/>
      <c r="AT212" s="74"/>
      <c r="AU212" s="74"/>
      <c r="AV212" s="74"/>
      <c r="AW212" s="74"/>
      <c r="AX212" s="74"/>
      <c r="AY212" s="74"/>
      <c r="AZ212" s="74"/>
      <c r="BA212" s="74"/>
      <c r="BB212" s="74"/>
      <c r="BC212" s="74"/>
      <c r="BD212" s="74"/>
      <c r="BE212" s="74"/>
      <c r="BF212" s="74"/>
      <c r="BG212" s="74"/>
      <c r="BH212" s="74"/>
    </row>
    <row r="213" spans="1:60" x14ac:dyDescent="0.25">
      <c r="A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c r="AR213" s="74"/>
      <c r="AS213" s="74"/>
      <c r="AT213" s="74"/>
      <c r="AU213" s="74"/>
      <c r="AV213" s="74"/>
      <c r="AW213" s="74"/>
      <c r="AX213" s="74"/>
      <c r="AY213" s="74"/>
      <c r="AZ213" s="74"/>
      <c r="BA213" s="74"/>
      <c r="BB213" s="74"/>
      <c r="BC213" s="74"/>
      <c r="BD213" s="74"/>
      <c r="BE213" s="74"/>
      <c r="BF213" s="74"/>
      <c r="BG213" s="74"/>
      <c r="BH213" s="74"/>
    </row>
    <row r="214" spans="1:60" x14ac:dyDescent="0.25">
      <c r="A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74"/>
      <c r="BF214" s="74"/>
      <c r="BG214" s="74"/>
      <c r="BH214" s="74"/>
    </row>
    <row r="215" spans="1:60" x14ac:dyDescent="0.25">
      <c r="A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row>
    <row r="216" spans="1:60" x14ac:dyDescent="0.25">
      <c r="A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4"/>
      <c r="BF216" s="74"/>
      <c r="BG216" s="74"/>
      <c r="BH216" s="74"/>
    </row>
    <row r="217" spans="1:60" x14ac:dyDescent="0.25">
      <c r="A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row>
    <row r="218" spans="1:60" x14ac:dyDescent="0.25">
      <c r="A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row>
    <row r="219" spans="1:60" x14ac:dyDescent="0.25">
      <c r="A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c r="AQ219" s="74"/>
      <c r="AR219" s="74"/>
      <c r="AS219" s="74"/>
      <c r="AT219" s="74"/>
      <c r="AU219" s="74"/>
      <c r="AV219" s="74"/>
      <c r="AW219" s="74"/>
      <c r="AX219" s="74"/>
      <c r="AY219" s="74"/>
      <c r="AZ219" s="74"/>
      <c r="BA219" s="74"/>
      <c r="BB219" s="74"/>
      <c r="BC219" s="74"/>
      <c r="BD219" s="74"/>
      <c r="BE219" s="74"/>
      <c r="BF219" s="74"/>
      <c r="BG219" s="74"/>
      <c r="BH219" s="74"/>
    </row>
    <row r="220" spans="1:60" x14ac:dyDescent="0.25">
      <c r="A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c r="AM220" s="74"/>
      <c r="AN220" s="74"/>
      <c r="AO220" s="74"/>
      <c r="AP220" s="74"/>
      <c r="AQ220" s="74"/>
      <c r="AR220" s="74"/>
      <c r="AS220" s="74"/>
      <c r="AT220" s="74"/>
      <c r="AU220" s="74"/>
      <c r="AV220" s="74"/>
      <c r="AW220" s="74"/>
      <c r="AX220" s="74"/>
      <c r="AY220" s="74"/>
      <c r="AZ220" s="74"/>
      <c r="BA220" s="74"/>
      <c r="BB220" s="74"/>
      <c r="BC220" s="74"/>
      <c r="BD220" s="74"/>
      <c r="BE220" s="74"/>
      <c r="BF220" s="74"/>
      <c r="BG220" s="74"/>
      <c r="BH220" s="74"/>
    </row>
    <row r="221" spans="1:60" x14ac:dyDescent="0.25">
      <c r="A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c r="AM221" s="74"/>
      <c r="AN221" s="74"/>
      <c r="AO221" s="74"/>
      <c r="AP221" s="74"/>
      <c r="AQ221" s="74"/>
      <c r="AR221" s="74"/>
      <c r="AS221" s="74"/>
      <c r="AT221" s="74"/>
      <c r="AU221" s="74"/>
      <c r="AV221" s="74"/>
      <c r="AW221" s="74"/>
      <c r="AX221" s="74"/>
      <c r="AY221" s="74"/>
      <c r="AZ221" s="74"/>
      <c r="BA221" s="74"/>
      <c r="BB221" s="74"/>
      <c r="BC221" s="74"/>
      <c r="BD221" s="74"/>
      <c r="BE221" s="74"/>
      <c r="BF221" s="74"/>
      <c r="BG221" s="74"/>
      <c r="BH221" s="74"/>
    </row>
    <row r="222" spans="1:60" x14ac:dyDescent="0.25">
      <c r="A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c r="AM222" s="74"/>
      <c r="AN222" s="74"/>
      <c r="AO222" s="74"/>
      <c r="AP222" s="74"/>
      <c r="AQ222" s="74"/>
      <c r="AR222" s="74"/>
      <c r="AS222" s="74"/>
      <c r="AT222" s="74"/>
      <c r="AU222" s="74"/>
      <c r="AV222" s="74"/>
      <c r="AW222" s="74"/>
      <c r="AX222" s="74"/>
      <c r="AY222" s="74"/>
      <c r="AZ222" s="74"/>
      <c r="BA222" s="74"/>
      <c r="BB222" s="74"/>
      <c r="BC222" s="74"/>
      <c r="BD222" s="74"/>
      <c r="BE222" s="74"/>
      <c r="BF222" s="74"/>
      <c r="BG222" s="74"/>
      <c r="BH222" s="74"/>
    </row>
    <row r="223" spans="1:60" x14ac:dyDescent="0.25">
      <c r="A223" s="74"/>
      <c r="J223" s="74"/>
      <c r="K223" s="74"/>
      <c r="L223" s="74"/>
      <c r="M223" s="74"/>
      <c r="N223" s="74"/>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74"/>
      <c r="AL223" s="74"/>
      <c r="AM223" s="74"/>
      <c r="AN223" s="74"/>
      <c r="AO223" s="74"/>
      <c r="AP223" s="74"/>
      <c r="AQ223" s="74"/>
      <c r="AR223" s="74"/>
      <c r="AS223" s="74"/>
      <c r="AT223" s="74"/>
      <c r="AU223" s="74"/>
      <c r="AV223" s="74"/>
      <c r="AW223" s="74"/>
      <c r="AX223" s="74"/>
      <c r="AY223" s="74"/>
      <c r="AZ223" s="74"/>
      <c r="BA223" s="74"/>
      <c r="BB223" s="74"/>
      <c r="BC223" s="74"/>
      <c r="BD223" s="74"/>
      <c r="BE223" s="74"/>
      <c r="BF223" s="74"/>
      <c r="BG223" s="74"/>
      <c r="BH223" s="74"/>
    </row>
    <row r="224" spans="1:60" x14ac:dyDescent="0.25">
      <c r="A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c r="AL224" s="74"/>
      <c r="AM224" s="74"/>
      <c r="AN224" s="74"/>
      <c r="AO224" s="74"/>
      <c r="AP224" s="74"/>
      <c r="AQ224" s="74"/>
      <c r="AR224" s="74"/>
      <c r="AS224" s="74"/>
      <c r="AT224" s="74"/>
      <c r="AU224" s="74"/>
      <c r="AV224" s="74"/>
      <c r="AW224" s="74"/>
      <c r="AX224" s="74"/>
      <c r="AY224" s="74"/>
      <c r="AZ224" s="74"/>
      <c r="BA224" s="74"/>
      <c r="BB224" s="74"/>
      <c r="BC224" s="74"/>
      <c r="BD224" s="74"/>
      <c r="BE224" s="74"/>
      <c r="BF224" s="74"/>
      <c r="BG224" s="74"/>
      <c r="BH224" s="74"/>
    </row>
    <row r="225" spans="1:60" x14ac:dyDescent="0.25">
      <c r="A225" s="74"/>
      <c r="J225" s="74"/>
      <c r="K225" s="74"/>
      <c r="L225" s="74"/>
      <c r="M225" s="74"/>
      <c r="N225" s="74"/>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74"/>
      <c r="AL225" s="74"/>
      <c r="AM225" s="74"/>
      <c r="AN225" s="74"/>
      <c r="AO225" s="74"/>
      <c r="AP225" s="74"/>
      <c r="AQ225" s="74"/>
      <c r="AR225" s="74"/>
      <c r="AS225" s="74"/>
      <c r="AT225" s="74"/>
      <c r="AU225" s="74"/>
      <c r="AV225" s="74"/>
      <c r="AW225" s="74"/>
      <c r="AX225" s="74"/>
      <c r="AY225" s="74"/>
      <c r="AZ225" s="74"/>
      <c r="BA225" s="74"/>
      <c r="BB225" s="74"/>
      <c r="BC225" s="74"/>
      <c r="BD225" s="74"/>
      <c r="BE225" s="74"/>
      <c r="BF225" s="74"/>
      <c r="BG225" s="74"/>
      <c r="BH225" s="74"/>
    </row>
    <row r="226" spans="1:60" x14ac:dyDescent="0.25">
      <c r="A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74"/>
      <c r="AL226" s="74"/>
      <c r="AM226" s="74"/>
      <c r="AN226" s="74"/>
      <c r="AO226" s="74"/>
      <c r="AP226" s="74"/>
      <c r="AQ226" s="74"/>
      <c r="AR226" s="74"/>
      <c r="AS226" s="74"/>
      <c r="AT226" s="74"/>
      <c r="AU226" s="74"/>
      <c r="AV226" s="74"/>
      <c r="AW226" s="74"/>
      <c r="AX226" s="74"/>
      <c r="AY226" s="74"/>
      <c r="AZ226" s="74"/>
      <c r="BA226" s="74"/>
      <c r="BB226" s="74"/>
      <c r="BC226" s="74"/>
      <c r="BD226" s="74"/>
      <c r="BE226" s="74"/>
      <c r="BF226" s="74"/>
      <c r="BG226" s="74"/>
      <c r="BH226" s="74"/>
    </row>
    <row r="227" spans="1:60" x14ac:dyDescent="0.25">
      <c r="A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c r="AL227" s="74"/>
      <c r="AM227" s="74"/>
      <c r="AN227" s="74"/>
      <c r="AO227" s="74"/>
      <c r="AP227" s="74"/>
      <c r="AQ227" s="74"/>
      <c r="AR227" s="74"/>
      <c r="AS227" s="74"/>
      <c r="AT227" s="74"/>
      <c r="AU227" s="74"/>
      <c r="AV227" s="74"/>
      <c r="AW227" s="74"/>
      <c r="AX227" s="74"/>
      <c r="AY227" s="74"/>
      <c r="AZ227" s="74"/>
      <c r="BA227" s="74"/>
      <c r="BB227" s="74"/>
      <c r="BC227" s="74"/>
      <c r="BD227" s="74"/>
      <c r="BE227" s="74"/>
      <c r="BF227" s="74"/>
      <c r="BG227" s="74"/>
      <c r="BH227" s="74"/>
    </row>
    <row r="228" spans="1:60" x14ac:dyDescent="0.25">
      <c r="A228" s="74"/>
      <c r="J228" s="74"/>
      <c r="K228" s="74"/>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c r="AL228" s="74"/>
      <c r="AM228" s="74"/>
      <c r="AN228" s="74"/>
      <c r="AO228" s="74"/>
      <c r="AP228" s="74"/>
      <c r="AQ228" s="74"/>
      <c r="AR228" s="74"/>
      <c r="AS228" s="74"/>
      <c r="AT228" s="74"/>
      <c r="AU228" s="74"/>
      <c r="AV228" s="74"/>
      <c r="AW228" s="74"/>
      <c r="AX228" s="74"/>
      <c r="AY228" s="74"/>
      <c r="AZ228" s="74"/>
      <c r="BA228" s="74"/>
      <c r="BB228" s="74"/>
      <c r="BC228" s="74"/>
      <c r="BD228" s="74"/>
      <c r="BE228" s="74"/>
      <c r="BF228" s="74"/>
      <c r="BG228" s="74"/>
      <c r="BH228" s="74"/>
    </row>
    <row r="229" spans="1:60" x14ac:dyDescent="0.25">
      <c r="A229" s="74"/>
      <c r="J229" s="74"/>
      <c r="K229" s="74"/>
      <c r="L229" s="74"/>
      <c r="M229" s="74"/>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c r="AQ229" s="74"/>
      <c r="AR229" s="74"/>
      <c r="AS229" s="74"/>
      <c r="AT229" s="74"/>
      <c r="AU229" s="74"/>
      <c r="AV229" s="74"/>
      <c r="AW229" s="74"/>
      <c r="AX229" s="74"/>
      <c r="AY229" s="74"/>
      <c r="AZ229" s="74"/>
      <c r="BA229" s="74"/>
      <c r="BB229" s="74"/>
      <c r="BC229" s="74"/>
      <c r="BD229" s="74"/>
      <c r="BE229" s="74"/>
      <c r="BF229" s="74"/>
      <c r="BG229" s="74"/>
      <c r="BH229" s="74"/>
    </row>
    <row r="230" spans="1:60" x14ac:dyDescent="0.25">
      <c r="A230" s="74"/>
      <c r="J230" s="74"/>
      <c r="K230" s="74"/>
      <c r="L230" s="74"/>
      <c r="M230" s="74"/>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74"/>
      <c r="AL230" s="74"/>
      <c r="AM230" s="74"/>
      <c r="AN230" s="74"/>
      <c r="AO230" s="74"/>
      <c r="AP230" s="74"/>
      <c r="AQ230" s="74"/>
      <c r="AR230" s="74"/>
      <c r="AS230" s="74"/>
      <c r="AT230" s="74"/>
      <c r="AU230" s="74"/>
      <c r="AV230" s="74"/>
      <c r="AW230" s="74"/>
      <c r="AX230" s="74"/>
      <c r="AY230" s="74"/>
      <c r="AZ230" s="74"/>
      <c r="BA230" s="74"/>
      <c r="BB230" s="74"/>
      <c r="BC230" s="74"/>
      <c r="BD230" s="74"/>
      <c r="BE230" s="74"/>
      <c r="BF230" s="74"/>
      <c r="BG230" s="74"/>
      <c r="BH230" s="74"/>
    </row>
    <row r="231" spans="1:60" x14ac:dyDescent="0.25">
      <c r="A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74"/>
      <c r="AL231" s="74"/>
      <c r="AM231" s="74"/>
      <c r="AN231" s="74"/>
      <c r="AO231" s="74"/>
      <c r="AP231" s="74"/>
      <c r="AQ231" s="74"/>
      <c r="AR231" s="74"/>
      <c r="AS231" s="74"/>
      <c r="AT231" s="74"/>
      <c r="AU231" s="74"/>
      <c r="AV231" s="74"/>
      <c r="AW231" s="74"/>
      <c r="AX231" s="74"/>
      <c r="AY231" s="74"/>
      <c r="AZ231" s="74"/>
      <c r="BA231" s="74"/>
      <c r="BB231" s="74"/>
      <c r="BC231" s="74"/>
      <c r="BD231" s="74"/>
      <c r="BE231" s="74"/>
      <c r="BF231" s="74"/>
      <c r="BG231" s="74"/>
      <c r="BH231" s="74"/>
    </row>
    <row r="232" spans="1:60" x14ac:dyDescent="0.25">
      <c r="A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c r="AM232" s="74"/>
      <c r="AN232" s="74"/>
      <c r="AO232" s="74"/>
      <c r="AP232" s="74"/>
      <c r="AQ232" s="74"/>
      <c r="AR232" s="74"/>
      <c r="AS232" s="74"/>
      <c r="AT232" s="74"/>
      <c r="AU232" s="74"/>
      <c r="AV232" s="74"/>
      <c r="AW232" s="74"/>
      <c r="AX232" s="74"/>
      <c r="AY232" s="74"/>
      <c r="AZ232" s="74"/>
      <c r="BA232" s="74"/>
      <c r="BB232" s="74"/>
      <c r="BC232" s="74"/>
      <c r="BD232" s="74"/>
      <c r="BE232" s="74"/>
      <c r="BF232" s="74"/>
      <c r="BG232" s="74"/>
      <c r="BH232" s="74"/>
    </row>
    <row r="233" spans="1:60" x14ac:dyDescent="0.25">
      <c r="A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74"/>
      <c r="AL233" s="74"/>
      <c r="AM233" s="74"/>
      <c r="AN233" s="74"/>
      <c r="AO233" s="74"/>
      <c r="AP233" s="74"/>
      <c r="AQ233" s="74"/>
      <c r="AR233" s="74"/>
      <c r="AS233" s="74"/>
      <c r="AT233" s="74"/>
      <c r="AU233" s="74"/>
      <c r="AV233" s="74"/>
      <c r="AW233" s="74"/>
      <c r="AX233" s="74"/>
      <c r="AY233" s="74"/>
      <c r="AZ233" s="74"/>
      <c r="BA233" s="74"/>
      <c r="BB233" s="74"/>
      <c r="BC233" s="74"/>
      <c r="BD233" s="74"/>
      <c r="BE233" s="74"/>
      <c r="BF233" s="74"/>
      <c r="BG233" s="74"/>
      <c r="BH233" s="74"/>
    </row>
    <row r="234" spans="1:60" x14ac:dyDescent="0.25">
      <c r="A234" s="74"/>
      <c r="J234" s="74"/>
      <c r="K234" s="74"/>
      <c r="L234" s="74"/>
      <c r="M234" s="74"/>
      <c r="N234" s="74"/>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74"/>
      <c r="AL234" s="74"/>
      <c r="AM234" s="74"/>
      <c r="AN234" s="74"/>
      <c r="AO234" s="74"/>
      <c r="AP234" s="74"/>
      <c r="AQ234" s="74"/>
      <c r="AR234" s="74"/>
      <c r="AS234" s="74"/>
      <c r="AT234" s="74"/>
      <c r="AU234" s="74"/>
      <c r="AV234" s="74"/>
      <c r="AW234" s="74"/>
      <c r="AX234" s="74"/>
      <c r="AY234" s="74"/>
      <c r="AZ234" s="74"/>
      <c r="BA234" s="74"/>
      <c r="BB234" s="74"/>
      <c r="BC234" s="74"/>
      <c r="BD234" s="74"/>
      <c r="BE234" s="74"/>
      <c r="BF234" s="74"/>
      <c r="BG234" s="74"/>
      <c r="BH234" s="74"/>
    </row>
    <row r="235" spans="1:60" x14ac:dyDescent="0.25">
      <c r="A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74"/>
      <c r="AL235" s="74"/>
      <c r="AM235" s="74"/>
      <c r="AN235" s="74"/>
      <c r="AO235" s="74"/>
      <c r="AP235" s="74"/>
      <c r="AQ235" s="74"/>
      <c r="AR235" s="74"/>
      <c r="AS235" s="74"/>
      <c r="AT235" s="74"/>
      <c r="AU235" s="74"/>
      <c r="AV235" s="74"/>
      <c r="AW235" s="74"/>
      <c r="AX235" s="74"/>
      <c r="AY235" s="74"/>
      <c r="AZ235" s="74"/>
      <c r="BA235" s="74"/>
      <c r="BB235" s="74"/>
      <c r="BC235" s="74"/>
      <c r="BD235" s="74"/>
      <c r="BE235" s="74"/>
      <c r="BF235" s="74"/>
      <c r="BG235" s="74"/>
      <c r="BH235" s="74"/>
    </row>
    <row r="236" spans="1:60" x14ac:dyDescent="0.25">
      <c r="A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4"/>
      <c r="AH236" s="74"/>
      <c r="AI236" s="74"/>
      <c r="AJ236" s="74"/>
      <c r="AK236" s="74"/>
      <c r="AL236" s="74"/>
      <c r="AM236" s="74"/>
      <c r="AN236" s="74"/>
      <c r="AO236" s="74"/>
      <c r="AP236" s="74"/>
      <c r="AQ236" s="74"/>
      <c r="AR236" s="74"/>
      <c r="AS236" s="74"/>
      <c r="AT236" s="74"/>
      <c r="AU236" s="74"/>
      <c r="AV236" s="74"/>
      <c r="AW236" s="74"/>
      <c r="AX236" s="74"/>
      <c r="AY236" s="74"/>
      <c r="AZ236" s="74"/>
      <c r="BA236" s="74"/>
      <c r="BB236" s="74"/>
      <c r="BC236" s="74"/>
      <c r="BD236" s="74"/>
      <c r="BE236" s="74"/>
      <c r="BF236" s="74"/>
      <c r="BG236" s="74"/>
      <c r="BH236" s="74"/>
    </row>
    <row r="237" spans="1:60" x14ac:dyDescent="0.25">
      <c r="A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c r="AY237" s="74"/>
      <c r="AZ237" s="74"/>
      <c r="BA237" s="74"/>
      <c r="BB237" s="74"/>
      <c r="BC237" s="74"/>
      <c r="BD237" s="74"/>
      <c r="BE237" s="74"/>
      <c r="BF237" s="74"/>
      <c r="BG237" s="74"/>
      <c r="BH237" s="74"/>
    </row>
    <row r="238" spans="1:60" x14ac:dyDescent="0.25">
      <c r="A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74"/>
      <c r="AL238" s="74"/>
      <c r="AM238" s="74"/>
      <c r="AN238" s="74"/>
      <c r="AO238" s="74"/>
      <c r="AP238" s="74"/>
      <c r="AQ238" s="74"/>
      <c r="AR238" s="74"/>
      <c r="AS238" s="74"/>
      <c r="AT238" s="74"/>
      <c r="AU238" s="74"/>
      <c r="AV238" s="74"/>
      <c r="AW238" s="74"/>
      <c r="AX238" s="74"/>
      <c r="AY238" s="74"/>
      <c r="AZ238" s="74"/>
      <c r="BA238" s="74"/>
      <c r="BB238" s="74"/>
      <c r="BC238" s="74"/>
      <c r="BD238" s="74"/>
      <c r="BE238" s="74"/>
      <c r="BF238" s="74"/>
      <c r="BG238" s="74"/>
      <c r="BH238" s="74"/>
    </row>
    <row r="239" spans="1:60" x14ac:dyDescent="0.25">
      <c r="A239" s="74"/>
      <c r="J239" s="74"/>
      <c r="K239" s="74"/>
      <c r="L239" s="74"/>
      <c r="M239" s="74"/>
      <c r="N239" s="74"/>
      <c r="O239" s="74"/>
      <c r="P239" s="74"/>
      <c r="Q239" s="74"/>
      <c r="R239" s="74"/>
      <c r="S239" s="74"/>
      <c r="T239" s="74"/>
      <c r="U239" s="74"/>
      <c r="V239" s="74"/>
      <c r="W239" s="74"/>
      <c r="X239" s="74"/>
      <c r="Y239" s="74"/>
      <c r="Z239" s="74"/>
      <c r="AA239" s="74"/>
      <c r="AB239" s="74"/>
      <c r="AC239" s="74"/>
      <c r="AD239" s="74"/>
      <c r="AE239" s="74"/>
      <c r="AF239" s="74"/>
      <c r="AG239" s="74"/>
      <c r="AH239" s="74"/>
      <c r="AI239" s="74"/>
      <c r="AJ239" s="74"/>
      <c r="AK239" s="74"/>
      <c r="AL239" s="74"/>
      <c r="AM239" s="74"/>
      <c r="AN239" s="74"/>
      <c r="AO239" s="74"/>
      <c r="AP239" s="74"/>
      <c r="AQ239" s="74"/>
      <c r="AR239" s="74"/>
      <c r="AS239" s="74"/>
      <c r="AT239" s="74"/>
      <c r="AU239" s="74"/>
      <c r="AV239" s="74"/>
      <c r="AW239" s="74"/>
      <c r="AX239" s="74"/>
      <c r="AY239" s="74"/>
      <c r="AZ239" s="74"/>
      <c r="BA239" s="74"/>
      <c r="BB239" s="74"/>
      <c r="BC239" s="74"/>
      <c r="BD239" s="74"/>
      <c r="BE239" s="74"/>
      <c r="BF239" s="74"/>
      <c r="BG239" s="74"/>
      <c r="BH239" s="74"/>
    </row>
    <row r="240" spans="1:60" x14ac:dyDescent="0.25">
      <c r="A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74"/>
      <c r="AL240" s="74"/>
      <c r="AM240" s="74"/>
      <c r="AN240" s="74"/>
      <c r="AO240" s="74"/>
      <c r="AP240" s="74"/>
      <c r="AQ240" s="74"/>
      <c r="AR240" s="74"/>
      <c r="AS240" s="74"/>
      <c r="AT240" s="74"/>
      <c r="AU240" s="74"/>
      <c r="AV240" s="74"/>
      <c r="AW240" s="74"/>
      <c r="AX240" s="74"/>
      <c r="AY240" s="74"/>
      <c r="AZ240" s="74"/>
      <c r="BA240" s="74"/>
      <c r="BB240" s="74"/>
      <c r="BC240" s="74"/>
      <c r="BD240" s="74"/>
      <c r="BE240" s="74"/>
      <c r="BF240" s="74"/>
      <c r="BG240" s="74"/>
      <c r="BH240" s="74"/>
    </row>
    <row r="241" spans="1:60" x14ac:dyDescent="0.25">
      <c r="A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c r="BC241" s="74"/>
      <c r="BD241" s="74"/>
      <c r="BE241" s="74"/>
      <c r="BF241" s="74"/>
      <c r="BG241" s="74"/>
      <c r="BH241" s="74"/>
    </row>
    <row r="242" spans="1:60" x14ac:dyDescent="0.25">
      <c r="A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c r="BC242" s="74"/>
      <c r="BD242" s="74"/>
      <c r="BE242" s="74"/>
      <c r="BF242" s="74"/>
      <c r="BG242" s="74"/>
      <c r="BH242" s="74"/>
    </row>
    <row r="243" spans="1:60" x14ac:dyDescent="0.25">
      <c r="A243" s="74"/>
      <c r="J243" s="74"/>
      <c r="K243" s="74"/>
      <c r="L243" s="74"/>
      <c r="M243" s="74"/>
      <c r="N243" s="74"/>
      <c r="O243" s="74"/>
      <c r="P243" s="74"/>
      <c r="Q243" s="74"/>
      <c r="R243" s="74"/>
      <c r="S243" s="74"/>
      <c r="T243" s="74"/>
      <c r="U243" s="74"/>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c r="BC243" s="74"/>
      <c r="BD243" s="74"/>
      <c r="BE243" s="74"/>
      <c r="BF243" s="74"/>
      <c r="BG243" s="74"/>
      <c r="BH243" s="74"/>
    </row>
    <row r="244" spans="1:60" x14ac:dyDescent="0.25">
      <c r="A244" s="74"/>
      <c r="J244" s="74"/>
      <c r="K244" s="74"/>
      <c r="L244" s="74"/>
      <c r="M244" s="74"/>
      <c r="N244" s="74"/>
      <c r="O244" s="74"/>
      <c r="P244" s="74"/>
      <c r="Q244" s="74"/>
      <c r="R244" s="74"/>
      <c r="S244" s="74"/>
      <c r="T244" s="74"/>
      <c r="U244" s="74"/>
      <c r="V244" s="74"/>
      <c r="W244" s="74"/>
      <c r="X244" s="74"/>
      <c r="Y244" s="74"/>
      <c r="Z244" s="74"/>
      <c r="AA244" s="74"/>
      <c r="AB244" s="74"/>
      <c r="AC244" s="74"/>
      <c r="AD244" s="74"/>
      <c r="AE244" s="74"/>
      <c r="AF244" s="74"/>
      <c r="AG244" s="74"/>
      <c r="AH244" s="74"/>
      <c r="AI244" s="74"/>
      <c r="AJ244" s="74"/>
      <c r="AK244" s="74"/>
      <c r="AL244" s="74"/>
      <c r="AM244" s="74"/>
      <c r="AN244" s="74"/>
      <c r="AO244" s="74"/>
      <c r="AP244" s="74"/>
      <c r="AQ244" s="74"/>
      <c r="AR244" s="74"/>
      <c r="AS244" s="74"/>
      <c r="AT244" s="74"/>
      <c r="AU244" s="74"/>
      <c r="AV244" s="74"/>
      <c r="AW244" s="74"/>
      <c r="AX244" s="74"/>
      <c r="AY244" s="74"/>
      <c r="AZ244" s="74"/>
      <c r="BA244" s="74"/>
      <c r="BB244" s="74"/>
      <c r="BC244" s="74"/>
      <c r="BD244" s="74"/>
      <c r="BE244" s="74"/>
      <c r="BF244" s="74"/>
      <c r="BG244" s="74"/>
      <c r="BH244" s="74"/>
    </row>
    <row r="245" spans="1:60" x14ac:dyDescent="0.25">
      <c r="A245" s="74"/>
    </row>
    <row r="246" spans="1:60" x14ac:dyDescent="0.25">
      <c r="A246" s="74"/>
    </row>
    <row r="247" spans="1:60" x14ac:dyDescent="0.25">
      <c r="A247" s="74"/>
    </row>
    <row r="248" spans="1:60" x14ac:dyDescent="0.25">
      <c r="A248" s="74"/>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topLeftCell="A4" zoomScale="90" zoomScaleNormal="90" workbookViewId="0">
      <selection activeCell="C8" sqref="C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4"/>
      <c r="B1" s="372" t="s">
        <v>55</v>
      </c>
      <c r="C1" s="372"/>
      <c r="D1" s="372"/>
      <c r="E1" s="74"/>
      <c r="F1" s="74"/>
      <c r="G1" s="74"/>
      <c r="H1" s="74"/>
      <c r="I1" s="74"/>
      <c r="J1" s="74"/>
      <c r="K1" s="74"/>
      <c r="L1" s="74"/>
      <c r="M1" s="74"/>
      <c r="N1" s="74"/>
      <c r="O1" s="74"/>
      <c r="P1" s="74"/>
      <c r="Q1" s="74"/>
      <c r="R1" s="74"/>
      <c r="S1" s="74"/>
      <c r="T1" s="74"/>
      <c r="U1" s="74"/>
      <c r="V1" s="74"/>
      <c r="W1" s="74"/>
      <c r="X1" s="74"/>
      <c r="Y1" s="74"/>
      <c r="Z1" s="74"/>
      <c r="AA1" s="74"/>
      <c r="AB1" s="74"/>
      <c r="AC1" s="74"/>
      <c r="AD1" s="74"/>
      <c r="AE1" s="74"/>
    </row>
    <row r="2" spans="1:37" ht="15.75" thickBot="1" x14ac:dyDescent="0.3">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row>
    <row r="3" spans="1:37" ht="26.25" thickBot="1" x14ac:dyDescent="0.3">
      <c r="A3" s="74"/>
      <c r="B3" s="10"/>
      <c r="C3" s="114" t="s">
        <v>52</v>
      </c>
      <c r="D3" s="115" t="s">
        <v>4</v>
      </c>
      <c r="E3" s="74"/>
      <c r="F3" s="74"/>
      <c r="G3" s="74"/>
      <c r="H3" s="74"/>
      <c r="I3" s="74"/>
      <c r="J3" s="74"/>
      <c r="K3" s="74"/>
      <c r="L3" s="74"/>
      <c r="M3" s="74"/>
      <c r="N3" s="74"/>
      <c r="O3" s="74"/>
      <c r="P3" s="74"/>
      <c r="Q3" s="74"/>
      <c r="R3" s="74"/>
      <c r="S3" s="74"/>
      <c r="T3" s="74"/>
      <c r="U3" s="74"/>
      <c r="V3" s="74"/>
      <c r="W3" s="74"/>
      <c r="X3" s="74"/>
      <c r="Y3" s="74"/>
      <c r="Z3" s="74"/>
      <c r="AA3" s="74"/>
      <c r="AB3" s="74"/>
      <c r="AC3" s="74"/>
      <c r="AD3" s="74"/>
      <c r="AE3" s="74"/>
    </row>
    <row r="4" spans="1:37" ht="51" x14ac:dyDescent="0.25">
      <c r="A4" s="74"/>
      <c r="B4" s="122" t="s">
        <v>51</v>
      </c>
      <c r="C4" s="119" t="s">
        <v>212</v>
      </c>
      <c r="D4" s="116">
        <v>0.2</v>
      </c>
      <c r="E4" s="74"/>
      <c r="F4" s="74"/>
      <c r="G4" s="74"/>
      <c r="H4" s="74"/>
      <c r="I4" s="74"/>
      <c r="J4" s="74"/>
      <c r="K4" s="74"/>
      <c r="L4" s="74"/>
      <c r="M4" s="74"/>
      <c r="N4" s="74"/>
      <c r="O4" s="74"/>
      <c r="P4" s="74"/>
      <c r="Q4" s="74"/>
      <c r="R4" s="74"/>
      <c r="S4" s="74"/>
      <c r="T4" s="74"/>
      <c r="U4" s="74"/>
      <c r="V4" s="74"/>
      <c r="W4" s="74"/>
      <c r="X4" s="74"/>
      <c r="Y4" s="74"/>
      <c r="Z4" s="74"/>
      <c r="AA4" s="74"/>
      <c r="AB4" s="74"/>
      <c r="AC4" s="74"/>
      <c r="AD4" s="74"/>
      <c r="AE4" s="74"/>
    </row>
    <row r="5" spans="1:37" ht="51" x14ac:dyDescent="0.25">
      <c r="A5" s="74"/>
      <c r="B5" s="123" t="s">
        <v>53</v>
      </c>
      <c r="C5" s="120" t="s">
        <v>213</v>
      </c>
      <c r="D5" s="117">
        <v>0.4</v>
      </c>
      <c r="E5" s="74"/>
      <c r="F5" s="74"/>
      <c r="G5" s="74"/>
      <c r="H5" s="74"/>
      <c r="I5" s="74"/>
      <c r="J5" s="74"/>
      <c r="K5" s="74"/>
      <c r="L5" s="74"/>
      <c r="M5" s="74"/>
      <c r="N5" s="74"/>
      <c r="O5" s="74"/>
      <c r="P5" s="74"/>
      <c r="Q5" s="74"/>
      <c r="R5" s="74"/>
      <c r="S5" s="74"/>
      <c r="T5" s="74"/>
      <c r="U5" s="74"/>
      <c r="V5" s="74"/>
      <c r="W5" s="74"/>
      <c r="X5" s="74"/>
      <c r="Y5" s="74"/>
      <c r="Z5" s="74"/>
      <c r="AA5" s="74"/>
      <c r="AB5" s="74"/>
      <c r="AC5" s="74"/>
      <c r="AD5" s="74"/>
      <c r="AE5" s="74"/>
    </row>
    <row r="6" spans="1:37" ht="51" x14ac:dyDescent="0.25">
      <c r="A6" s="74"/>
      <c r="B6" s="124" t="s">
        <v>105</v>
      </c>
      <c r="C6" s="120" t="s">
        <v>102</v>
      </c>
      <c r="D6" s="117">
        <v>0.6</v>
      </c>
      <c r="E6" s="74"/>
      <c r="F6" s="74"/>
      <c r="G6" s="74"/>
      <c r="H6" s="74"/>
      <c r="I6" s="74"/>
      <c r="J6" s="74"/>
      <c r="K6" s="74"/>
      <c r="L6" s="74"/>
      <c r="M6" s="74"/>
      <c r="N6" s="74"/>
      <c r="O6" s="74"/>
      <c r="P6" s="74"/>
      <c r="Q6" s="74"/>
      <c r="R6" s="74"/>
      <c r="S6" s="74"/>
      <c r="T6" s="74"/>
      <c r="U6" s="74"/>
      <c r="V6" s="74"/>
      <c r="W6" s="74"/>
      <c r="X6" s="74"/>
      <c r="Y6" s="74"/>
      <c r="Z6" s="74"/>
      <c r="AA6" s="74"/>
      <c r="AB6" s="74"/>
      <c r="AC6" s="74"/>
      <c r="AD6" s="74"/>
      <c r="AE6" s="74"/>
    </row>
    <row r="7" spans="1:37" ht="76.5" x14ac:dyDescent="0.25">
      <c r="A7" s="74"/>
      <c r="B7" s="125" t="s">
        <v>6</v>
      </c>
      <c r="C7" s="120" t="s">
        <v>103</v>
      </c>
      <c r="D7" s="117">
        <v>0.8</v>
      </c>
      <c r="E7" s="74"/>
      <c r="F7" s="74"/>
      <c r="G7" s="74"/>
      <c r="H7" s="74"/>
      <c r="I7" s="74"/>
      <c r="J7" s="74"/>
      <c r="K7" s="74"/>
      <c r="L7" s="74"/>
      <c r="M7" s="74"/>
      <c r="N7" s="74"/>
      <c r="O7" s="74"/>
      <c r="P7" s="74"/>
      <c r="Q7" s="74"/>
      <c r="R7" s="74"/>
      <c r="S7" s="74"/>
      <c r="T7" s="74"/>
      <c r="U7" s="74"/>
      <c r="V7" s="74"/>
      <c r="W7" s="74"/>
      <c r="X7" s="74"/>
      <c r="Y7" s="74"/>
      <c r="Z7" s="74"/>
      <c r="AA7" s="74"/>
      <c r="AB7" s="74"/>
      <c r="AC7" s="74"/>
      <c r="AD7" s="74"/>
      <c r="AE7" s="74"/>
    </row>
    <row r="8" spans="1:37" ht="51.75" thickBot="1" x14ac:dyDescent="0.3">
      <c r="A8" s="74"/>
      <c r="B8" s="126" t="s">
        <v>54</v>
      </c>
      <c r="C8" s="121" t="s">
        <v>104</v>
      </c>
      <c r="D8" s="118">
        <v>1</v>
      </c>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7" x14ac:dyDescent="0.25">
      <c r="A9" s="74"/>
      <c r="B9" s="98"/>
      <c r="C9" s="98"/>
      <c r="D9" s="98"/>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row>
    <row r="10" spans="1:37" ht="16.5" x14ac:dyDescent="0.25">
      <c r="A10" s="74"/>
      <c r="B10" s="99"/>
      <c r="C10" s="98"/>
      <c r="D10" s="98"/>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row>
    <row r="11" spans="1:37" x14ac:dyDescent="0.25">
      <c r="A11" s="74"/>
      <c r="B11" s="98"/>
      <c r="C11" s="98"/>
      <c r="D11" s="98"/>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row>
    <row r="12" spans="1:37" x14ac:dyDescent="0.25">
      <c r="A12" s="74"/>
      <c r="B12" s="98"/>
      <c r="C12" s="98"/>
      <c r="D12" s="98"/>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row>
    <row r="13" spans="1:37" x14ac:dyDescent="0.25">
      <c r="A13" s="74"/>
      <c r="B13" s="98"/>
      <c r="C13" s="98"/>
      <c r="D13" s="98"/>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row>
    <row r="14" spans="1:37" x14ac:dyDescent="0.25">
      <c r="A14" s="74"/>
      <c r="B14" s="98"/>
      <c r="C14" s="98"/>
      <c r="D14" s="98"/>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row>
    <row r="15" spans="1:37" x14ac:dyDescent="0.25">
      <c r="A15" s="74"/>
      <c r="B15" s="98"/>
      <c r="C15" s="98"/>
      <c r="D15" s="98"/>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row>
    <row r="16" spans="1:37" x14ac:dyDescent="0.25">
      <c r="A16" s="74"/>
      <c r="B16" s="98"/>
      <c r="C16" s="98"/>
      <c r="D16" s="98"/>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row>
    <row r="17" spans="1:37" x14ac:dyDescent="0.25">
      <c r="A17" s="74"/>
      <c r="B17" s="98"/>
      <c r="C17" s="98"/>
      <c r="D17" s="98"/>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row>
    <row r="18" spans="1:37" x14ac:dyDescent="0.25">
      <c r="A18" s="74"/>
      <c r="B18" s="98"/>
      <c r="C18" s="98"/>
      <c r="D18" s="98"/>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row>
    <row r="19" spans="1:37" x14ac:dyDescent="0.25">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row>
    <row r="20" spans="1:37" x14ac:dyDescent="0.25">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row>
    <row r="21" spans="1:37" x14ac:dyDescent="0.25">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row>
    <row r="22" spans="1:37" x14ac:dyDescent="0.2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row>
    <row r="23" spans="1:37" x14ac:dyDescent="0.25">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row>
    <row r="24" spans="1:37" x14ac:dyDescent="0.25">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row>
    <row r="25" spans="1:37" x14ac:dyDescent="0.25">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row>
    <row r="26" spans="1:37" x14ac:dyDescent="0.25">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row>
    <row r="27" spans="1:37" x14ac:dyDescent="0.25">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row>
    <row r="28" spans="1:37" x14ac:dyDescent="0.25">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row>
    <row r="29" spans="1:37" x14ac:dyDescent="0.25">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row>
    <row r="30" spans="1:37" x14ac:dyDescent="0.25">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row>
    <row r="31" spans="1:37" x14ac:dyDescent="0.25">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row>
    <row r="32" spans="1:37" x14ac:dyDescent="0.25">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row>
    <row r="33" spans="1:31" x14ac:dyDescent="0.25">
      <c r="A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row>
    <row r="34" spans="1:31" x14ac:dyDescent="0.25">
      <c r="A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1" x14ac:dyDescent="0.25">
      <c r="A35" s="74"/>
    </row>
    <row r="36" spans="1:31" x14ac:dyDescent="0.25">
      <c r="A36" s="74"/>
    </row>
    <row r="37" spans="1:31" x14ac:dyDescent="0.25">
      <c r="A37" s="74"/>
    </row>
    <row r="38" spans="1:31" x14ac:dyDescent="0.25">
      <c r="A38" s="74"/>
    </row>
    <row r="39" spans="1:31" x14ac:dyDescent="0.25">
      <c r="A39" s="74"/>
    </row>
    <row r="40" spans="1:31" x14ac:dyDescent="0.25">
      <c r="A40" s="74"/>
    </row>
    <row r="41" spans="1:31" x14ac:dyDescent="0.25">
      <c r="A41" s="74"/>
    </row>
    <row r="42" spans="1:31" x14ac:dyDescent="0.25">
      <c r="A42" s="74"/>
    </row>
    <row r="43" spans="1:31" x14ac:dyDescent="0.25">
      <c r="A43" s="74"/>
    </row>
    <row r="44" spans="1:31" x14ac:dyDescent="0.25">
      <c r="A44" s="74"/>
    </row>
    <row r="45" spans="1:31" x14ac:dyDescent="0.25">
      <c r="A45" s="74"/>
    </row>
    <row r="46" spans="1:31" x14ac:dyDescent="0.25">
      <c r="A46" s="74"/>
    </row>
    <row r="47" spans="1:31" x14ac:dyDescent="0.25">
      <c r="A47" s="74"/>
    </row>
    <row r="48" spans="1:31" x14ac:dyDescent="0.25">
      <c r="A48" s="74"/>
    </row>
    <row r="49" spans="1:1" x14ac:dyDescent="0.25">
      <c r="A49" s="74"/>
    </row>
    <row r="50" spans="1:1" x14ac:dyDescent="0.25">
      <c r="A50" s="74"/>
    </row>
    <row r="51" spans="1:1" x14ac:dyDescent="0.25">
      <c r="A51" s="74"/>
    </row>
    <row r="52" spans="1:1" x14ac:dyDescent="0.25">
      <c r="A52" s="74"/>
    </row>
    <row r="53" spans="1:1" x14ac:dyDescent="0.25">
      <c r="A53" s="74"/>
    </row>
    <row r="54" spans="1:1" x14ac:dyDescent="0.25">
      <c r="A54" s="74"/>
    </row>
    <row r="55" spans="1:1" x14ac:dyDescent="0.25">
      <c r="A55" s="7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2" customWidth="1"/>
    <col min="3" max="3" width="61.85546875" customWidth="1"/>
    <col min="4" max="4" width="110.85546875" customWidth="1"/>
    <col min="5" max="5" width="144.7109375" bestFit="1" customWidth="1"/>
  </cols>
  <sheetData>
    <row r="1" spans="1:21" ht="33.75" x14ac:dyDescent="0.25">
      <c r="A1" s="74"/>
      <c r="B1" s="373" t="s">
        <v>63</v>
      </c>
      <c r="C1" s="373"/>
      <c r="D1" s="373"/>
      <c r="E1" s="74"/>
      <c r="F1" s="74"/>
      <c r="G1" s="74"/>
      <c r="H1" s="74"/>
      <c r="I1" s="74"/>
      <c r="J1" s="74"/>
      <c r="K1" s="74"/>
      <c r="L1" s="74"/>
      <c r="M1" s="74"/>
      <c r="N1" s="74"/>
      <c r="O1" s="74"/>
      <c r="P1" s="74"/>
      <c r="Q1" s="74"/>
      <c r="R1" s="74"/>
      <c r="S1" s="74"/>
      <c r="T1" s="74"/>
      <c r="U1" s="74"/>
    </row>
    <row r="2" spans="1:21" ht="15.75" thickBot="1" x14ac:dyDescent="0.3">
      <c r="A2" s="74"/>
      <c r="B2" s="74"/>
      <c r="C2" s="74"/>
      <c r="D2" s="74"/>
      <c r="E2" s="74"/>
      <c r="F2" s="74"/>
      <c r="G2" s="74"/>
      <c r="H2" s="74"/>
      <c r="I2" s="74"/>
      <c r="J2" s="74"/>
      <c r="K2" s="74"/>
      <c r="L2" s="74"/>
      <c r="M2" s="74"/>
      <c r="N2" s="74"/>
      <c r="O2" s="74"/>
      <c r="P2" s="74"/>
      <c r="Q2" s="74"/>
      <c r="R2" s="74"/>
      <c r="S2" s="74"/>
      <c r="T2" s="74"/>
      <c r="U2" s="74"/>
    </row>
    <row r="3" spans="1:21" ht="60.75" thickBot="1" x14ac:dyDescent="0.3">
      <c r="A3" s="74"/>
      <c r="B3" s="95"/>
      <c r="C3" s="138" t="s">
        <v>56</v>
      </c>
      <c r="D3" s="138" t="s">
        <v>57</v>
      </c>
      <c r="E3" s="74"/>
      <c r="F3" s="74"/>
      <c r="G3" s="74"/>
      <c r="H3" s="74"/>
      <c r="I3" s="74"/>
      <c r="J3" s="74"/>
      <c r="K3" s="74"/>
      <c r="L3" s="74"/>
      <c r="M3" s="74"/>
      <c r="N3" s="74"/>
      <c r="O3" s="74"/>
      <c r="P3" s="74"/>
      <c r="Q3" s="74"/>
      <c r="R3" s="74"/>
      <c r="S3" s="74"/>
      <c r="T3" s="74"/>
      <c r="U3" s="74"/>
    </row>
    <row r="4" spans="1:21" ht="44.1" customHeight="1" x14ac:dyDescent="0.25">
      <c r="A4" s="94" t="s">
        <v>83</v>
      </c>
      <c r="B4" s="127" t="s">
        <v>101</v>
      </c>
      <c r="C4" s="136" t="s">
        <v>156</v>
      </c>
      <c r="D4" s="137" t="s">
        <v>97</v>
      </c>
      <c r="E4" s="74"/>
      <c r="F4" s="74"/>
      <c r="G4" s="74"/>
      <c r="H4" s="74"/>
      <c r="I4" s="74"/>
      <c r="J4" s="74"/>
      <c r="K4" s="74"/>
      <c r="L4" s="74"/>
      <c r="M4" s="74"/>
      <c r="N4" s="74"/>
      <c r="O4" s="74"/>
      <c r="P4" s="74"/>
      <c r="Q4" s="74"/>
      <c r="R4" s="74"/>
      <c r="S4" s="74"/>
      <c r="T4" s="74"/>
      <c r="U4" s="74"/>
    </row>
    <row r="5" spans="1:21" ht="101.25" x14ac:dyDescent="0.25">
      <c r="A5" s="94" t="s">
        <v>84</v>
      </c>
      <c r="B5" s="128" t="s">
        <v>59</v>
      </c>
      <c r="C5" s="132" t="s">
        <v>214</v>
      </c>
      <c r="D5" s="134" t="s">
        <v>98</v>
      </c>
      <c r="E5" s="74"/>
      <c r="F5" s="74"/>
      <c r="G5" s="74"/>
      <c r="H5" s="74"/>
      <c r="I5" s="74"/>
      <c r="J5" s="74"/>
      <c r="K5" s="74"/>
      <c r="L5" s="74"/>
      <c r="M5" s="74"/>
      <c r="N5" s="74"/>
      <c r="O5" s="74"/>
      <c r="P5" s="74"/>
      <c r="Q5" s="74"/>
      <c r="R5" s="74"/>
      <c r="S5" s="74"/>
      <c r="T5" s="74"/>
      <c r="U5" s="74"/>
    </row>
    <row r="6" spans="1:21" ht="67.5" x14ac:dyDescent="0.25">
      <c r="A6" s="94" t="s">
        <v>81</v>
      </c>
      <c r="B6" s="129" t="s">
        <v>60</v>
      </c>
      <c r="C6" s="132" t="s">
        <v>94</v>
      </c>
      <c r="D6" s="134" t="s">
        <v>100</v>
      </c>
      <c r="E6" s="74"/>
      <c r="F6" s="74"/>
      <c r="G6" s="74"/>
      <c r="H6" s="74"/>
      <c r="I6" s="74"/>
      <c r="J6" s="74"/>
      <c r="K6" s="74"/>
      <c r="L6" s="74"/>
      <c r="M6" s="74"/>
      <c r="N6" s="74"/>
      <c r="O6" s="74"/>
      <c r="P6" s="74"/>
      <c r="Q6" s="74"/>
      <c r="R6" s="74"/>
      <c r="S6" s="74"/>
      <c r="T6" s="74"/>
      <c r="U6" s="74"/>
    </row>
    <row r="7" spans="1:21" ht="101.25" x14ac:dyDescent="0.25">
      <c r="A7" s="94" t="s">
        <v>7</v>
      </c>
      <c r="B7" s="130" t="s">
        <v>61</v>
      </c>
      <c r="C7" s="132" t="s">
        <v>95</v>
      </c>
      <c r="D7" s="134" t="s">
        <v>99</v>
      </c>
      <c r="E7" s="74"/>
      <c r="F7" s="74"/>
      <c r="G7" s="74"/>
      <c r="H7" s="74"/>
      <c r="I7" s="74"/>
      <c r="J7" s="74"/>
      <c r="K7" s="74"/>
      <c r="L7" s="74"/>
      <c r="M7" s="74"/>
      <c r="N7" s="74"/>
      <c r="O7" s="74"/>
      <c r="P7" s="74"/>
      <c r="Q7" s="74"/>
      <c r="R7" s="74"/>
      <c r="S7" s="74"/>
      <c r="T7" s="74"/>
      <c r="U7" s="74"/>
    </row>
    <row r="8" spans="1:21" ht="68.25" thickBot="1" x14ac:dyDescent="0.3">
      <c r="A8" s="94" t="s">
        <v>85</v>
      </c>
      <c r="B8" s="131" t="s">
        <v>62</v>
      </c>
      <c r="C8" s="133" t="s">
        <v>96</v>
      </c>
      <c r="D8" s="135" t="s">
        <v>116</v>
      </c>
      <c r="E8" s="74"/>
      <c r="F8" s="74"/>
      <c r="G8" s="74"/>
      <c r="H8" s="74"/>
      <c r="I8" s="74"/>
      <c r="J8" s="74"/>
      <c r="K8" s="74"/>
      <c r="L8" s="74"/>
      <c r="M8" s="74"/>
      <c r="N8" s="74"/>
      <c r="O8" s="74"/>
      <c r="P8" s="74"/>
      <c r="Q8" s="74"/>
      <c r="R8" s="74"/>
      <c r="S8" s="74"/>
      <c r="T8" s="74"/>
      <c r="U8" s="74"/>
    </row>
    <row r="9" spans="1:21" ht="20.25" x14ac:dyDescent="0.25">
      <c r="A9" s="94"/>
      <c r="B9" s="94"/>
      <c r="C9" s="96"/>
      <c r="D9" s="96"/>
      <c r="E9" s="74"/>
      <c r="F9" s="74"/>
      <c r="G9" s="74"/>
      <c r="H9" s="74"/>
      <c r="I9" s="74"/>
      <c r="J9" s="74"/>
      <c r="K9" s="74"/>
      <c r="L9" s="74"/>
      <c r="M9" s="74"/>
      <c r="N9" s="74"/>
      <c r="O9" s="74"/>
      <c r="P9" s="74"/>
      <c r="Q9" s="74"/>
      <c r="R9" s="74"/>
      <c r="S9" s="74"/>
      <c r="T9" s="74"/>
      <c r="U9" s="74"/>
    </row>
    <row r="10" spans="1:21" ht="16.5" x14ac:dyDescent="0.25">
      <c r="A10" s="94"/>
      <c r="B10" s="97"/>
      <c r="C10" s="97"/>
      <c r="D10" s="97"/>
      <c r="E10" s="74"/>
      <c r="F10" s="74"/>
      <c r="G10" s="74"/>
      <c r="H10" s="74"/>
      <c r="I10" s="74"/>
      <c r="J10" s="74"/>
      <c r="K10" s="74"/>
      <c r="L10" s="74"/>
      <c r="M10" s="74"/>
      <c r="N10" s="74"/>
      <c r="O10" s="74"/>
      <c r="P10" s="74"/>
      <c r="Q10" s="74"/>
      <c r="R10" s="74"/>
      <c r="S10" s="74"/>
      <c r="T10" s="74"/>
      <c r="U10" s="74"/>
    </row>
    <row r="11" spans="1:21" x14ac:dyDescent="0.25">
      <c r="A11" s="94"/>
      <c r="B11" s="94" t="s">
        <v>91</v>
      </c>
      <c r="C11" s="94" t="s">
        <v>144</v>
      </c>
      <c r="D11" s="94" t="s">
        <v>151</v>
      </c>
      <c r="E11" s="74"/>
      <c r="F11" s="74"/>
      <c r="G11" s="74"/>
      <c r="H11" s="74"/>
      <c r="I11" s="74"/>
      <c r="J11" s="74"/>
      <c r="K11" s="74"/>
      <c r="L11" s="74"/>
      <c r="M11" s="74"/>
      <c r="N11" s="74"/>
      <c r="O11" s="74"/>
      <c r="P11" s="74"/>
      <c r="Q11" s="74"/>
      <c r="R11" s="74"/>
      <c r="S11" s="74"/>
      <c r="T11" s="74"/>
      <c r="U11" s="74"/>
    </row>
    <row r="12" spans="1:21" x14ac:dyDescent="0.25">
      <c r="A12" s="94"/>
      <c r="B12" s="94" t="s">
        <v>89</v>
      </c>
      <c r="C12" s="94" t="s">
        <v>148</v>
      </c>
      <c r="D12" s="94" t="s">
        <v>152</v>
      </c>
      <c r="E12" s="74"/>
      <c r="F12" s="74"/>
      <c r="G12" s="74"/>
      <c r="H12" s="74"/>
      <c r="I12" s="74"/>
      <c r="J12" s="74"/>
      <c r="K12" s="74"/>
      <c r="L12" s="74"/>
      <c r="M12" s="74"/>
      <c r="N12" s="74"/>
      <c r="O12" s="74"/>
      <c r="P12" s="74"/>
      <c r="Q12" s="74"/>
      <c r="R12" s="74"/>
      <c r="S12" s="74"/>
      <c r="T12" s="74"/>
      <c r="U12" s="74"/>
    </row>
    <row r="13" spans="1:21" x14ac:dyDescent="0.25">
      <c r="A13" s="94"/>
      <c r="B13" s="94"/>
      <c r="C13" s="94" t="s">
        <v>147</v>
      </c>
      <c r="D13" s="94" t="s">
        <v>153</v>
      </c>
      <c r="E13" s="74"/>
      <c r="F13" s="74"/>
      <c r="G13" s="74"/>
      <c r="H13" s="74"/>
      <c r="I13" s="74"/>
      <c r="J13" s="74"/>
      <c r="K13" s="74"/>
      <c r="L13" s="74"/>
      <c r="M13" s="74"/>
      <c r="N13" s="74"/>
      <c r="O13" s="74"/>
      <c r="P13" s="74"/>
      <c r="Q13" s="74"/>
      <c r="R13" s="74"/>
      <c r="S13" s="74"/>
      <c r="T13" s="74"/>
      <c r="U13" s="74"/>
    </row>
    <row r="14" spans="1:21" x14ac:dyDescent="0.25">
      <c r="A14" s="94"/>
      <c r="B14" s="94"/>
      <c r="C14" s="94" t="s">
        <v>149</v>
      </c>
      <c r="D14" s="94" t="s">
        <v>154</v>
      </c>
      <c r="E14" s="74"/>
      <c r="F14" s="74"/>
      <c r="G14" s="74"/>
      <c r="H14" s="74"/>
      <c r="I14" s="74"/>
      <c r="J14" s="74"/>
      <c r="K14" s="74"/>
      <c r="L14" s="74"/>
      <c r="M14" s="74"/>
      <c r="N14" s="74"/>
      <c r="O14" s="74"/>
      <c r="P14" s="74"/>
      <c r="Q14" s="74"/>
      <c r="R14" s="74"/>
      <c r="S14" s="74"/>
      <c r="T14" s="74"/>
      <c r="U14" s="74"/>
    </row>
    <row r="15" spans="1:21" x14ac:dyDescent="0.25">
      <c r="A15" s="94"/>
      <c r="B15" s="94"/>
      <c r="C15" s="94" t="s">
        <v>150</v>
      </c>
      <c r="D15" s="94" t="s">
        <v>155</v>
      </c>
      <c r="E15" s="74"/>
      <c r="F15" s="74"/>
      <c r="G15" s="74"/>
      <c r="H15" s="74"/>
      <c r="I15" s="74"/>
      <c r="J15" s="74"/>
      <c r="K15" s="74"/>
      <c r="L15" s="74"/>
      <c r="M15" s="74"/>
      <c r="N15" s="74"/>
      <c r="O15" s="74"/>
      <c r="P15" s="74"/>
      <c r="Q15" s="74"/>
      <c r="R15" s="74"/>
      <c r="S15" s="74"/>
      <c r="T15" s="74"/>
      <c r="U15" s="74"/>
    </row>
    <row r="16" spans="1:21" x14ac:dyDescent="0.25">
      <c r="A16" s="94"/>
      <c r="B16" s="94"/>
      <c r="C16" s="94"/>
      <c r="D16" s="94"/>
      <c r="E16" s="74"/>
      <c r="F16" s="74"/>
      <c r="G16" s="74"/>
      <c r="H16" s="74"/>
      <c r="I16" s="74"/>
      <c r="J16" s="74"/>
      <c r="K16" s="74"/>
      <c r="L16" s="74"/>
      <c r="M16" s="74"/>
      <c r="N16" s="74"/>
      <c r="O16" s="74"/>
    </row>
    <row r="17" spans="1:15" x14ac:dyDescent="0.25">
      <c r="A17" s="94"/>
      <c r="B17" s="94"/>
      <c r="C17" s="94"/>
      <c r="D17" s="94"/>
      <c r="E17" s="74"/>
      <c r="F17" s="74"/>
      <c r="G17" s="74"/>
      <c r="H17" s="74"/>
      <c r="I17" s="74"/>
      <c r="J17" s="74"/>
      <c r="K17" s="74"/>
      <c r="L17" s="74"/>
      <c r="M17" s="74"/>
      <c r="N17" s="74"/>
      <c r="O17" s="74"/>
    </row>
    <row r="18" spans="1:15" x14ac:dyDescent="0.25">
      <c r="A18" s="94"/>
      <c r="B18" s="98"/>
      <c r="C18" s="98"/>
      <c r="D18" s="98"/>
      <c r="E18" s="74"/>
      <c r="F18" s="74"/>
      <c r="G18" s="74"/>
      <c r="H18" s="74"/>
      <c r="I18" s="74"/>
      <c r="J18" s="74"/>
      <c r="K18" s="74"/>
      <c r="L18" s="74"/>
      <c r="M18" s="74"/>
      <c r="N18" s="74"/>
      <c r="O18" s="74"/>
    </row>
    <row r="19" spans="1:15" x14ac:dyDescent="0.25">
      <c r="A19" s="94"/>
      <c r="B19" s="98"/>
      <c r="C19" s="98"/>
      <c r="D19" s="98"/>
      <c r="E19" s="74"/>
      <c r="F19" s="74"/>
      <c r="G19" s="74"/>
      <c r="H19" s="74"/>
      <c r="I19" s="74"/>
      <c r="J19" s="74"/>
      <c r="K19" s="74"/>
      <c r="L19" s="74"/>
      <c r="M19" s="74"/>
      <c r="N19" s="74"/>
      <c r="O19" s="74"/>
    </row>
    <row r="20" spans="1:15" x14ac:dyDescent="0.25">
      <c r="A20" s="94"/>
      <c r="B20" s="98"/>
      <c r="C20" s="98"/>
      <c r="D20" s="98"/>
      <c r="E20" s="74"/>
      <c r="F20" s="74"/>
      <c r="G20" s="74"/>
      <c r="H20" s="74"/>
      <c r="I20" s="74"/>
      <c r="J20" s="74"/>
      <c r="K20" s="74"/>
      <c r="L20" s="74"/>
      <c r="M20" s="74"/>
      <c r="N20" s="74"/>
      <c r="O20" s="74"/>
    </row>
    <row r="21" spans="1:15" x14ac:dyDescent="0.25">
      <c r="A21" s="94"/>
      <c r="B21" s="98"/>
      <c r="C21" s="98"/>
      <c r="D21" s="98"/>
      <c r="E21" s="74"/>
      <c r="F21" s="74"/>
      <c r="G21" s="74"/>
      <c r="H21" s="74"/>
      <c r="I21" s="74"/>
      <c r="J21" s="74"/>
      <c r="K21" s="74"/>
      <c r="L21" s="74"/>
      <c r="M21" s="74"/>
      <c r="N21" s="74"/>
      <c r="O21" s="74"/>
    </row>
    <row r="22" spans="1:15" ht="20.25" x14ac:dyDescent="0.25">
      <c r="A22" s="94"/>
      <c r="B22" s="94"/>
      <c r="C22" s="96"/>
      <c r="D22" s="96"/>
      <c r="E22" s="74"/>
      <c r="F22" s="74"/>
      <c r="G22" s="74"/>
      <c r="H22" s="74"/>
      <c r="I22" s="74"/>
      <c r="J22" s="74"/>
      <c r="K22" s="74"/>
      <c r="L22" s="74"/>
      <c r="M22" s="74"/>
      <c r="N22" s="74"/>
      <c r="O22" s="74"/>
    </row>
    <row r="23" spans="1:15" ht="20.25" x14ac:dyDescent="0.25">
      <c r="A23" s="94"/>
      <c r="B23" s="94"/>
      <c r="C23" s="96"/>
      <c r="D23" s="96"/>
      <c r="E23" s="74"/>
      <c r="F23" s="74"/>
      <c r="G23" s="74"/>
      <c r="H23" s="74"/>
      <c r="I23" s="74"/>
      <c r="J23" s="74"/>
      <c r="K23" s="74"/>
      <c r="L23" s="74"/>
      <c r="M23" s="74"/>
      <c r="N23" s="74"/>
      <c r="O23" s="74"/>
    </row>
    <row r="24" spans="1:15" ht="20.25" x14ac:dyDescent="0.25">
      <c r="A24" s="94"/>
      <c r="B24" s="94"/>
      <c r="C24" s="96"/>
      <c r="D24" s="96"/>
      <c r="E24" s="74"/>
      <c r="F24" s="74"/>
      <c r="G24" s="74"/>
      <c r="H24" s="74"/>
      <c r="I24" s="74"/>
      <c r="J24" s="74"/>
      <c r="K24" s="74"/>
      <c r="L24" s="74"/>
      <c r="M24" s="74"/>
      <c r="N24" s="74"/>
      <c r="O24" s="74"/>
    </row>
    <row r="25" spans="1:15" ht="20.25" x14ac:dyDescent="0.25">
      <c r="A25" s="94"/>
      <c r="B25" s="94"/>
      <c r="C25" s="96"/>
      <c r="D25" s="96"/>
      <c r="E25" s="74"/>
      <c r="F25" s="74"/>
      <c r="G25" s="74"/>
      <c r="H25" s="74"/>
      <c r="I25" s="74"/>
      <c r="J25" s="74"/>
      <c r="K25" s="74"/>
      <c r="L25" s="74"/>
      <c r="M25" s="74"/>
      <c r="N25" s="74"/>
      <c r="O25" s="74"/>
    </row>
    <row r="26" spans="1:15" ht="20.25" x14ac:dyDescent="0.25">
      <c r="A26" s="94"/>
      <c r="B26" s="94"/>
      <c r="C26" s="96"/>
      <c r="D26" s="96"/>
      <c r="E26" s="74"/>
      <c r="F26" s="74"/>
      <c r="G26" s="74"/>
      <c r="H26" s="74"/>
      <c r="I26" s="74"/>
      <c r="J26" s="74"/>
      <c r="K26" s="74"/>
      <c r="L26" s="74"/>
      <c r="M26" s="74"/>
      <c r="N26" s="74"/>
      <c r="O26" s="74"/>
    </row>
    <row r="27" spans="1:15" ht="20.25" x14ac:dyDescent="0.25">
      <c r="A27" s="94"/>
      <c r="B27" s="94"/>
      <c r="C27" s="96"/>
      <c r="D27" s="96"/>
      <c r="E27" s="74"/>
      <c r="F27" s="74"/>
      <c r="G27" s="74"/>
      <c r="H27" s="74"/>
      <c r="I27" s="74"/>
      <c r="J27" s="74"/>
      <c r="K27" s="74"/>
      <c r="L27" s="74"/>
      <c r="M27" s="74"/>
      <c r="N27" s="74"/>
      <c r="O27" s="74"/>
    </row>
    <row r="28" spans="1:15" ht="20.25" x14ac:dyDescent="0.25">
      <c r="A28" s="94"/>
      <c r="B28" s="94"/>
      <c r="C28" s="96"/>
      <c r="D28" s="96"/>
      <c r="E28" s="74"/>
      <c r="F28" s="74"/>
      <c r="G28" s="74"/>
      <c r="H28" s="74"/>
      <c r="I28" s="74"/>
      <c r="J28" s="74"/>
      <c r="K28" s="74"/>
      <c r="L28" s="74"/>
      <c r="M28" s="74"/>
      <c r="N28" s="74"/>
      <c r="O28" s="74"/>
    </row>
    <row r="29" spans="1:15" ht="20.25" x14ac:dyDescent="0.25">
      <c r="A29" s="94"/>
      <c r="B29" s="94"/>
      <c r="C29" s="96"/>
      <c r="D29" s="96"/>
      <c r="E29" s="74"/>
      <c r="F29" s="74"/>
      <c r="G29" s="74"/>
      <c r="H29" s="74"/>
      <c r="I29" s="74"/>
      <c r="J29" s="74"/>
      <c r="K29" s="74"/>
      <c r="L29" s="74"/>
      <c r="M29" s="74"/>
      <c r="N29" s="74"/>
      <c r="O29" s="74"/>
    </row>
    <row r="30" spans="1:15" ht="20.25" x14ac:dyDescent="0.25">
      <c r="A30" s="94"/>
      <c r="B30" s="94"/>
      <c r="C30" s="96"/>
      <c r="D30" s="96"/>
      <c r="E30" s="74"/>
      <c r="F30" s="74"/>
      <c r="G30" s="74"/>
      <c r="H30" s="74"/>
      <c r="I30" s="74"/>
      <c r="J30" s="74"/>
      <c r="K30" s="74"/>
      <c r="L30" s="74"/>
      <c r="M30" s="74"/>
      <c r="N30" s="74"/>
      <c r="O30" s="74"/>
    </row>
    <row r="31" spans="1:15" ht="20.25" x14ac:dyDescent="0.25">
      <c r="A31" s="94"/>
      <c r="B31" s="94"/>
      <c r="C31" s="96"/>
      <c r="D31" s="96"/>
      <c r="E31" s="74"/>
      <c r="F31" s="74"/>
      <c r="G31" s="74"/>
      <c r="H31" s="74"/>
      <c r="I31" s="74"/>
      <c r="J31" s="74"/>
      <c r="K31" s="74"/>
      <c r="L31" s="74"/>
      <c r="M31" s="74"/>
      <c r="N31" s="74"/>
      <c r="O31" s="74"/>
    </row>
    <row r="32" spans="1:15" ht="20.25" x14ac:dyDescent="0.25">
      <c r="A32" s="94"/>
      <c r="B32" s="94"/>
      <c r="C32" s="96"/>
      <c r="D32" s="96"/>
      <c r="E32" s="74"/>
      <c r="F32" s="74"/>
      <c r="G32" s="74"/>
      <c r="H32" s="74"/>
      <c r="I32" s="74"/>
      <c r="J32" s="74"/>
      <c r="K32" s="74"/>
      <c r="L32" s="74"/>
      <c r="M32" s="74"/>
      <c r="N32" s="74"/>
      <c r="O32" s="74"/>
    </row>
    <row r="33" spans="1:15" ht="20.25" x14ac:dyDescent="0.25">
      <c r="A33" s="94"/>
      <c r="B33" s="94"/>
      <c r="C33" s="96"/>
      <c r="D33" s="96"/>
      <c r="E33" s="74"/>
      <c r="F33" s="74"/>
      <c r="G33" s="74"/>
      <c r="H33" s="74"/>
      <c r="I33" s="74"/>
      <c r="J33" s="74"/>
      <c r="K33" s="74"/>
      <c r="L33" s="74"/>
      <c r="M33" s="74"/>
      <c r="N33" s="74"/>
      <c r="O33" s="74"/>
    </row>
    <row r="34" spans="1:15" ht="20.25" x14ac:dyDescent="0.25">
      <c r="A34" s="94"/>
      <c r="B34" s="94"/>
      <c r="C34" s="96"/>
      <c r="D34" s="96"/>
      <c r="E34" s="74"/>
      <c r="F34" s="74"/>
      <c r="G34" s="74"/>
      <c r="H34" s="74"/>
      <c r="I34" s="74"/>
      <c r="J34" s="74"/>
      <c r="K34" s="74"/>
      <c r="L34" s="74"/>
      <c r="M34" s="74"/>
      <c r="N34" s="74"/>
      <c r="O34" s="74"/>
    </row>
    <row r="35" spans="1:15" ht="20.25" x14ac:dyDescent="0.25">
      <c r="A35" s="94"/>
      <c r="B35" s="94"/>
      <c r="C35" s="96"/>
      <c r="D35" s="96"/>
      <c r="E35" s="74"/>
      <c r="F35" s="74"/>
      <c r="G35" s="74"/>
      <c r="H35" s="74"/>
      <c r="I35" s="74"/>
      <c r="J35" s="74"/>
      <c r="K35" s="74"/>
      <c r="L35" s="74"/>
      <c r="M35" s="74"/>
      <c r="N35" s="74"/>
      <c r="O35" s="74"/>
    </row>
    <row r="36" spans="1:15" ht="20.25" x14ac:dyDescent="0.25">
      <c r="A36" s="94"/>
      <c r="B36" s="94"/>
      <c r="C36" s="96"/>
      <c r="D36" s="96"/>
      <c r="E36" s="74"/>
      <c r="F36" s="74"/>
      <c r="G36" s="74"/>
      <c r="H36" s="74"/>
      <c r="I36" s="74"/>
      <c r="J36" s="74"/>
      <c r="K36" s="74"/>
      <c r="L36" s="74"/>
      <c r="M36" s="74"/>
      <c r="N36" s="74"/>
      <c r="O36" s="74"/>
    </row>
    <row r="37" spans="1:15" ht="20.25" x14ac:dyDescent="0.25">
      <c r="A37" s="94"/>
      <c r="B37" s="94"/>
      <c r="C37" s="96"/>
      <c r="D37" s="96"/>
      <c r="E37" s="74"/>
      <c r="F37" s="74"/>
      <c r="G37" s="74"/>
      <c r="H37" s="74"/>
      <c r="I37" s="74"/>
      <c r="J37" s="74"/>
      <c r="K37" s="74"/>
      <c r="L37" s="74"/>
      <c r="M37" s="74"/>
      <c r="N37" s="74"/>
      <c r="O37" s="74"/>
    </row>
    <row r="38" spans="1:15" ht="20.25" x14ac:dyDescent="0.25">
      <c r="A38" s="94"/>
      <c r="B38" s="94"/>
      <c r="C38" s="96"/>
      <c r="D38" s="96"/>
      <c r="E38" s="74"/>
      <c r="F38" s="74"/>
      <c r="G38" s="74"/>
      <c r="H38" s="74"/>
      <c r="I38" s="74"/>
      <c r="J38" s="74"/>
      <c r="K38" s="74"/>
      <c r="L38" s="74"/>
      <c r="M38" s="74"/>
      <c r="N38" s="74"/>
      <c r="O38" s="74"/>
    </row>
    <row r="39" spans="1:15" ht="20.25" x14ac:dyDescent="0.25">
      <c r="A39" s="94"/>
      <c r="B39" s="94"/>
      <c r="C39" s="96"/>
      <c r="D39" s="96"/>
      <c r="E39" s="74"/>
      <c r="F39" s="74"/>
      <c r="G39" s="74"/>
      <c r="H39" s="74"/>
      <c r="I39" s="74"/>
      <c r="J39" s="74"/>
      <c r="K39" s="74"/>
      <c r="L39" s="74"/>
      <c r="M39" s="74"/>
      <c r="N39" s="74"/>
      <c r="O39" s="74"/>
    </row>
    <row r="40" spans="1:15" ht="20.25" x14ac:dyDescent="0.25">
      <c r="A40" s="94"/>
      <c r="B40" s="94"/>
      <c r="C40" s="96"/>
      <c r="D40" s="96"/>
      <c r="E40" s="74"/>
      <c r="F40" s="74"/>
      <c r="G40" s="74"/>
      <c r="H40" s="74"/>
      <c r="I40" s="74"/>
      <c r="J40" s="74"/>
      <c r="K40" s="74"/>
      <c r="L40" s="74"/>
      <c r="M40" s="74"/>
      <c r="N40" s="74"/>
      <c r="O40" s="74"/>
    </row>
    <row r="41" spans="1:15" ht="20.25" x14ac:dyDescent="0.25">
      <c r="A41" s="94"/>
      <c r="B41" s="94"/>
      <c r="C41" s="96"/>
      <c r="D41" s="96"/>
      <c r="E41" s="74"/>
      <c r="F41" s="74"/>
      <c r="G41" s="74"/>
      <c r="H41" s="74"/>
      <c r="I41" s="74"/>
      <c r="J41" s="74"/>
      <c r="K41" s="74"/>
      <c r="L41" s="74"/>
      <c r="M41" s="74"/>
      <c r="N41" s="74"/>
      <c r="O41" s="74"/>
    </row>
    <row r="42" spans="1:15" ht="20.25" x14ac:dyDescent="0.25">
      <c r="A42" s="94"/>
      <c r="B42" s="94"/>
      <c r="C42" s="96"/>
      <c r="D42" s="96"/>
      <c r="E42" s="74"/>
      <c r="F42" s="74"/>
      <c r="G42" s="74"/>
      <c r="H42" s="74"/>
      <c r="I42" s="74"/>
      <c r="J42" s="74"/>
      <c r="K42" s="74"/>
      <c r="L42" s="74"/>
      <c r="M42" s="74"/>
      <c r="N42" s="74"/>
      <c r="O42" s="74"/>
    </row>
    <row r="43" spans="1:15" ht="20.25" x14ac:dyDescent="0.25">
      <c r="A43" s="94"/>
      <c r="B43" s="94"/>
      <c r="C43" s="96"/>
      <c r="D43" s="96"/>
      <c r="E43" s="74"/>
      <c r="F43" s="74"/>
      <c r="G43" s="74"/>
      <c r="H43" s="74"/>
      <c r="I43" s="74"/>
      <c r="J43" s="74"/>
      <c r="K43" s="74"/>
      <c r="L43" s="74"/>
      <c r="M43" s="74"/>
      <c r="N43" s="74"/>
      <c r="O43" s="74"/>
    </row>
    <row r="44" spans="1:15" ht="20.25" x14ac:dyDescent="0.25">
      <c r="A44" s="94"/>
      <c r="B44" s="94"/>
      <c r="C44" s="96"/>
      <c r="D44" s="96"/>
      <c r="E44" s="74"/>
      <c r="F44" s="74"/>
      <c r="G44" s="74"/>
      <c r="H44" s="74"/>
      <c r="I44" s="74"/>
      <c r="J44" s="74"/>
      <c r="K44" s="74"/>
      <c r="L44" s="74"/>
      <c r="M44" s="74"/>
      <c r="N44" s="74"/>
      <c r="O44" s="74"/>
    </row>
    <row r="45" spans="1:15" ht="20.25" x14ac:dyDescent="0.25">
      <c r="A45" s="94"/>
      <c r="B45" s="94"/>
      <c r="C45" s="96"/>
      <c r="D45" s="96"/>
      <c r="E45" s="74"/>
      <c r="F45" s="74"/>
      <c r="G45" s="74"/>
      <c r="H45" s="74"/>
      <c r="I45" s="74"/>
      <c r="J45" s="74"/>
      <c r="K45" s="74"/>
      <c r="L45" s="74"/>
      <c r="M45" s="74"/>
      <c r="N45" s="74"/>
      <c r="O45" s="74"/>
    </row>
    <row r="46" spans="1:15" ht="20.25" x14ac:dyDescent="0.25">
      <c r="A46" s="94"/>
      <c r="B46" s="94"/>
      <c r="C46" s="96"/>
      <c r="D46" s="96"/>
      <c r="E46" s="74"/>
      <c r="F46" s="74"/>
      <c r="G46" s="74"/>
      <c r="H46" s="74"/>
      <c r="I46" s="74"/>
      <c r="J46" s="74"/>
      <c r="K46" s="74"/>
      <c r="L46" s="74"/>
      <c r="M46" s="74"/>
      <c r="N46" s="74"/>
      <c r="O46" s="74"/>
    </row>
    <row r="47" spans="1:15" ht="20.25" x14ac:dyDescent="0.25">
      <c r="A47" s="94"/>
      <c r="B47" s="94"/>
      <c r="C47" s="96"/>
      <c r="D47" s="96"/>
      <c r="E47" s="74"/>
      <c r="F47" s="74"/>
      <c r="G47" s="74"/>
      <c r="H47" s="74"/>
      <c r="I47" s="74"/>
      <c r="J47" s="74"/>
      <c r="K47" s="74"/>
      <c r="L47" s="74"/>
      <c r="M47" s="74"/>
      <c r="N47" s="74"/>
      <c r="O47" s="74"/>
    </row>
    <row r="48" spans="1:15" ht="20.25" x14ac:dyDescent="0.25">
      <c r="A48" s="94"/>
      <c r="B48" s="94"/>
      <c r="C48" s="96"/>
      <c r="D48" s="96"/>
      <c r="E48" s="74"/>
      <c r="F48" s="74"/>
      <c r="G48" s="74"/>
      <c r="H48" s="74"/>
      <c r="I48" s="74"/>
      <c r="J48" s="74"/>
      <c r="K48" s="74"/>
      <c r="L48" s="74"/>
      <c r="M48" s="74"/>
      <c r="N48" s="74"/>
      <c r="O48" s="74"/>
    </row>
    <row r="49" spans="1:15" ht="20.25" x14ac:dyDescent="0.25">
      <c r="A49" s="94"/>
      <c r="B49" s="94"/>
      <c r="C49" s="96"/>
      <c r="D49" s="96"/>
      <c r="E49" s="74"/>
      <c r="F49" s="74"/>
      <c r="G49" s="74"/>
      <c r="H49" s="74"/>
      <c r="I49" s="74"/>
      <c r="J49" s="74"/>
      <c r="K49" s="74"/>
      <c r="L49" s="74"/>
      <c r="M49" s="74"/>
      <c r="N49" s="74"/>
      <c r="O49" s="74"/>
    </row>
    <row r="50" spans="1:15" ht="20.25" x14ac:dyDescent="0.25">
      <c r="A50" s="94"/>
      <c r="B50" s="94"/>
      <c r="C50" s="96"/>
      <c r="D50" s="96"/>
      <c r="E50" s="74"/>
      <c r="F50" s="74"/>
      <c r="G50" s="74"/>
      <c r="H50" s="74"/>
      <c r="I50" s="74"/>
      <c r="J50" s="74"/>
      <c r="K50" s="74"/>
      <c r="L50" s="74"/>
      <c r="M50" s="74"/>
      <c r="N50" s="74"/>
      <c r="O50" s="74"/>
    </row>
    <row r="51" spans="1:15" ht="20.25" x14ac:dyDescent="0.25">
      <c r="A51" s="94"/>
      <c r="B51" s="94"/>
      <c r="C51" s="96"/>
      <c r="D51" s="96"/>
      <c r="E51" s="74"/>
      <c r="F51" s="74"/>
      <c r="G51" s="74"/>
      <c r="H51" s="74"/>
      <c r="I51" s="74"/>
      <c r="J51" s="74"/>
      <c r="K51" s="74"/>
      <c r="L51" s="74"/>
      <c r="M51" s="74"/>
      <c r="N51" s="74"/>
      <c r="O51" s="74"/>
    </row>
    <row r="52" spans="1:15" ht="20.25" x14ac:dyDescent="0.25">
      <c r="A52" s="94"/>
      <c r="B52" s="12"/>
      <c r="C52" s="23"/>
      <c r="D52" s="23"/>
    </row>
    <row r="53" spans="1:15" ht="20.25" x14ac:dyDescent="0.25">
      <c r="A53" s="94"/>
      <c r="B53" s="12"/>
      <c r="C53" s="23"/>
      <c r="D53" s="23"/>
    </row>
    <row r="54" spans="1:15" ht="20.25" x14ac:dyDescent="0.25">
      <c r="A54" s="94"/>
      <c r="B54" s="12"/>
      <c r="C54" s="23"/>
      <c r="D54" s="23"/>
    </row>
    <row r="55" spans="1:15" ht="20.25" x14ac:dyDescent="0.25">
      <c r="A55" s="94"/>
      <c r="B55" s="12"/>
      <c r="C55" s="23"/>
      <c r="D55" s="23"/>
    </row>
    <row r="56" spans="1:15" ht="20.25" x14ac:dyDescent="0.25">
      <c r="A56" s="94"/>
      <c r="B56" s="12"/>
      <c r="C56" s="23"/>
      <c r="D56" s="23"/>
    </row>
    <row r="57" spans="1:15" ht="20.25" x14ac:dyDescent="0.25">
      <c r="A57" s="94"/>
      <c r="B57" s="12"/>
      <c r="C57" s="23"/>
      <c r="D57" s="23"/>
    </row>
    <row r="58" spans="1:15" ht="20.25" x14ac:dyDescent="0.25">
      <c r="A58" s="94"/>
      <c r="B58" s="12"/>
      <c r="C58" s="23"/>
      <c r="D58" s="23"/>
    </row>
    <row r="59" spans="1:15" ht="20.25" x14ac:dyDescent="0.25">
      <c r="A59" s="94"/>
      <c r="B59" s="12"/>
      <c r="C59" s="23"/>
      <c r="D59" s="23"/>
    </row>
    <row r="60" spans="1:15" ht="20.25" x14ac:dyDescent="0.25">
      <c r="A60" s="94"/>
      <c r="B60" s="12"/>
      <c r="C60" s="23"/>
      <c r="D60" s="23"/>
    </row>
    <row r="61" spans="1:15" ht="20.25" x14ac:dyDescent="0.25">
      <c r="A61" s="94"/>
      <c r="B61" s="12"/>
      <c r="C61" s="23"/>
      <c r="D61" s="23"/>
    </row>
    <row r="62" spans="1:15" ht="20.25" x14ac:dyDescent="0.25">
      <c r="A62" s="94"/>
      <c r="B62" s="12"/>
      <c r="C62" s="23"/>
      <c r="D62" s="23"/>
    </row>
    <row r="63" spans="1:15" ht="20.25" x14ac:dyDescent="0.25">
      <c r="A63" s="94"/>
      <c r="B63" s="12"/>
      <c r="C63" s="23"/>
      <c r="D63" s="23"/>
    </row>
    <row r="64" spans="1:15" ht="20.25" x14ac:dyDescent="0.25">
      <c r="A64" s="94"/>
      <c r="B64" s="12"/>
      <c r="C64" s="23"/>
      <c r="D64" s="23"/>
    </row>
    <row r="65" spans="1:4" ht="20.25" x14ac:dyDescent="0.25">
      <c r="A65" s="94"/>
      <c r="B65" s="12"/>
      <c r="C65" s="23"/>
      <c r="D65" s="23"/>
    </row>
    <row r="66" spans="1:4" ht="20.25" x14ac:dyDescent="0.25">
      <c r="A66" s="94"/>
      <c r="B66" s="12"/>
      <c r="C66" s="23"/>
      <c r="D66" s="23"/>
    </row>
    <row r="67" spans="1:4" ht="20.25" x14ac:dyDescent="0.25">
      <c r="A67" s="94"/>
      <c r="B67" s="12"/>
      <c r="C67" s="23"/>
      <c r="D67" s="23"/>
    </row>
    <row r="68" spans="1:4" ht="20.25" x14ac:dyDescent="0.25">
      <c r="A68" s="94"/>
      <c r="B68" s="12"/>
      <c r="C68" s="23"/>
      <c r="D68" s="23"/>
    </row>
    <row r="69" spans="1:4" ht="20.25" x14ac:dyDescent="0.25">
      <c r="A69" s="94"/>
      <c r="B69" s="12"/>
      <c r="C69" s="23"/>
      <c r="D69" s="23"/>
    </row>
    <row r="70" spans="1:4" ht="20.25" x14ac:dyDescent="0.25">
      <c r="A70" s="94"/>
      <c r="B70" s="12"/>
      <c r="C70" s="23"/>
      <c r="D70" s="23"/>
    </row>
    <row r="71" spans="1:4" ht="20.25" x14ac:dyDescent="0.25">
      <c r="A71" s="94"/>
      <c r="B71" s="12"/>
      <c r="C71" s="23"/>
      <c r="D71" s="23"/>
    </row>
    <row r="72" spans="1:4" ht="20.25" x14ac:dyDescent="0.25">
      <c r="A72" s="94"/>
      <c r="B72" s="12"/>
      <c r="C72" s="23"/>
      <c r="D72" s="23"/>
    </row>
    <row r="73" spans="1:4" ht="20.25" x14ac:dyDescent="0.25">
      <c r="A73" s="94"/>
      <c r="B73" s="12"/>
      <c r="C73" s="23"/>
      <c r="D73" s="23"/>
    </row>
    <row r="74" spans="1:4" ht="20.25" x14ac:dyDescent="0.25">
      <c r="A74" s="94"/>
      <c r="B74" s="12"/>
      <c r="C74" s="23"/>
      <c r="D74" s="23"/>
    </row>
    <row r="75" spans="1:4" ht="20.25" x14ac:dyDescent="0.25">
      <c r="A75" s="94"/>
      <c r="B75" s="12"/>
      <c r="C75" s="23"/>
      <c r="D75" s="23"/>
    </row>
    <row r="76" spans="1:4" ht="20.25" x14ac:dyDescent="0.25">
      <c r="A76" s="94"/>
      <c r="B76" s="12"/>
      <c r="C76" s="23"/>
      <c r="D76" s="23"/>
    </row>
    <row r="77" spans="1:4" ht="20.25" x14ac:dyDescent="0.25">
      <c r="A77" s="94"/>
      <c r="B77" s="12"/>
      <c r="C77" s="23"/>
      <c r="D77" s="23"/>
    </row>
    <row r="78" spans="1:4" ht="20.25" x14ac:dyDescent="0.25">
      <c r="A78" s="94"/>
      <c r="B78" s="12"/>
      <c r="C78" s="23"/>
      <c r="D78" s="23"/>
    </row>
    <row r="79" spans="1:4" ht="20.25" x14ac:dyDescent="0.25">
      <c r="A79" s="94"/>
      <c r="B79" s="12"/>
      <c r="C79" s="23"/>
      <c r="D79" s="23"/>
    </row>
    <row r="80" spans="1:4" ht="20.25" x14ac:dyDescent="0.25">
      <c r="A80" s="94"/>
      <c r="B80" s="12"/>
      <c r="C80" s="23"/>
      <c r="D80" s="23"/>
    </row>
    <row r="81" spans="1:4" ht="20.25" x14ac:dyDescent="0.25">
      <c r="A81" s="94"/>
      <c r="B81" s="12"/>
      <c r="C81" s="23"/>
      <c r="D81" s="23"/>
    </row>
    <row r="82" spans="1:4" ht="20.25" x14ac:dyDescent="0.25">
      <c r="A82" s="94"/>
      <c r="B82" s="12"/>
      <c r="C82" s="23"/>
      <c r="D82" s="23"/>
    </row>
    <row r="83" spans="1:4" ht="20.25" x14ac:dyDescent="0.25">
      <c r="A83" s="94"/>
      <c r="B83" s="12"/>
      <c r="C83" s="23"/>
      <c r="D83" s="23"/>
    </row>
    <row r="84" spans="1:4" ht="20.25" x14ac:dyDescent="0.25">
      <c r="A84" s="94"/>
      <c r="B84" s="12"/>
      <c r="C84" s="23"/>
      <c r="D84" s="23"/>
    </row>
    <row r="85" spans="1:4" ht="20.25" x14ac:dyDescent="0.25">
      <c r="A85" s="94"/>
      <c r="B85" s="12"/>
      <c r="C85" s="23"/>
      <c r="D85" s="23"/>
    </row>
    <row r="86" spans="1:4" ht="20.25" x14ac:dyDescent="0.25">
      <c r="A86" s="94"/>
      <c r="B86" s="12"/>
      <c r="C86" s="23"/>
      <c r="D86" s="23"/>
    </row>
    <row r="87" spans="1:4" ht="20.25" x14ac:dyDescent="0.25">
      <c r="A87" s="94"/>
      <c r="B87" s="12"/>
      <c r="C87" s="23"/>
      <c r="D87" s="23"/>
    </row>
    <row r="88" spans="1:4" ht="20.25" x14ac:dyDescent="0.25">
      <c r="A88" s="94"/>
      <c r="B88" s="12"/>
      <c r="C88" s="23"/>
      <c r="D88" s="23"/>
    </row>
    <row r="89" spans="1:4" ht="20.25" x14ac:dyDescent="0.25">
      <c r="A89" s="94"/>
      <c r="B89" s="12"/>
      <c r="C89" s="23"/>
      <c r="D89" s="23"/>
    </row>
    <row r="90" spans="1:4" ht="20.25" x14ac:dyDescent="0.25">
      <c r="A90" s="94"/>
      <c r="B90" s="12"/>
      <c r="C90" s="23"/>
      <c r="D90" s="23"/>
    </row>
    <row r="91" spans="1:4" ht="20.25" x14ac:dyDescent="0.25">
      <c r="A91" s="94"/>
      <c r="B91" s="12"/>
      <c r="C91" s="23"/>
      <c r="D91" s="23"/>
    </row>
    <row r="92" spans="1:4" ht="20.25" x14ac:dyDescent="0.25">
      <c r="A92" s="94"/>
      <c r="B92" s="12"/>
      <c r="C92" s="23"/>
      <c r="D92" s="23"/>
    </row>
    <row r="93" spans="1:4" ht="20.25" x14ac:dyDescent="0.25">
      <c r="A93" s="94"/>
      <c r="B93" s="12"/>
      <c r="C93" s="23"/>
      <c r="D93" s="23"/>
    </row>
    <row r="94" spans="1:4" ht="20.25" x14ac:dyDescent="0.25">
      <c r="A94" s="94"/>
      <c r="B94" s="12"/>
      <c r="C94" s="23"/>
      <c r="D94" s="23"/>
    </row>
    <row r="95" spans="1:4" ht="20.25" x14ac:dyDescent="0.25">
      <c r="A95" s="94"/>
      <c r="B95" s="12"/>
      <c r="C95" s="23"/>
      <c r="D95" s="23"/>
    </row>
    <row r="96" spans="1:4" ht="20.25" x14ac:dyDescent="0.25">
      <c r="A96" s="94"/>
      <c r="B96" s="12"/>
      <c r="C96" s="23"/>
      <c r="D96" s="23"/>
    </row>
    <row r="97" spans="1:4" ht="20.25" x14ac:dyDescent="0.25">
      <c r="A97" s="94"/>
      <c r="B97" s="12"/>
      <c r="C97" s="23"/>
      <c r="D97" s="23"/>
    </row>
    <row r="98" spans="1:4" ht="20.25" x14ac:dyDescent="0.25">
      <c r="A98" s="94"/>
      <c r="B98" s="12"/>
      <c r="C98" s="23"/>
      <c r="D98" s="23"/>
    </row>
    <row r="99" spans="1:4" ht="20.25" x14ac:dyDescent="0.25">
      <c r="A99" s="94"/>
      <c r="B99" s="12"/>
      <c r="C99" s="23"/>
      <c r="D99" s="23"/>
    </row>
    <row r="100" spans="1:4" ht="20.25" x14ac:dyDescent="0.25">
      <c r="A100" s="94"/>
      <c r="B100" s="12"/>
      <c r="C100" s="23"/>
      <c r="D100" s="23"/>
    </row>
    <row r="101" spans="1:4" ht="20.25" x14ac:dyDescent="0.25">
      <c r="A101" s="94"/>
      <c r="B101" s="12"/>
      <c r="C101" s="23"/>
      <c r="D101" s="23"/>
    </row>
    <row r="102" spans="1:4" ht="20.25" x14ac:dyDescent="0.25">
      <c r="A102" s="94"/>
      <c r="B102" s="12"/>
      <c r="C102" s="23"/>
      <c r="D102" s="23"/>
    </row>
    <row r="103" spans="1:4" ht="20.25" x14ac:dyDescent="0.25">
      <c r="A103" s="94"/>
      <c r="B103" s="12"/>
      <c r="C103" s="23"/>
      <c r="D103" s="23"/>
    </row>
    <row r="104" spans="1:4" ht="20.25" x14ac:dyDescent="0.25">
      <c r="A104" s="94"/>
      <c r="B104" s="12"/>
      <c r="C104" s="23"/>
      <c r="D104" s="23"/>
    </row>
    <row r="105" spans="1:4" ht="20.25" x14ac:dyDescent="0.25">
      <c r="A105" s="94"/>
      <c r="B105" s="12"/>
      <c r="C105" s="23"/>
      <c r="D105" s="23"/>
    </row>
    <row r="106" spans="1:4" ht="20.25" x14ac:dyDescent="0.25">
      <c r="A106" s="94"/>
      <c r="B106" s="12"/>
      <c r="C106" s="23"/>
      <c r="D106" s="23"/>
    </row>
    <row r="107" spans="1:4" ht="20.25" x14ac:dyDescent="0.25">
      <c r="A107" s="94"/>
      <c r="B107" s="12"/>
      <c r="C107" s="23"/>
      <c r="D107" s="23"/>
    </row>
    <row r="108" spans="1:4" ht="20.25" x14ac:dyDescent="0.25">
      <c r="A108" s="94"/>
      <c r="B108" s="12"/>
      <c r="C108" s="23"/>
      <c r="D108" s="23"/>
    </row>
    <row r="109" spans="1:4" ht="20.25" x14ac:dyDescent="0.25">
      <c r="A109" s="94"/>
      <c r="B109" s="12"/>
      <c r="C109" s="23"/>
      <c r="D109" s="23"/>
    </row>
    <row r="110" spans="1:4" ht="20.25" x14ac:dyDescent="0.25">
      <c r="A110" s="94"/>
      <c r="B110" s="12"/>
      <c r="C110" s="23"/>
      <c r="D110" s="23"/>
    </row>
    <row r="111" spans="1:4" ht="20.25" x14ac:dyDescent="0.25">
      <c r="A111" s="94"/>
      <c r="B111" s="12"/>
      <c r="C111" s="23"/>
      <c r="D111" s="23"/>
    </row>
    <row r="112" spans="1:4" ht="20.25" x14ac:dyDescent="0.25">
      <c r="A112" s="94"/>
      <c r="B112" s="12"/>
      <c r="C112" s="23"/>
      <c r="D112" s="23"/>
    </row>
    <row r="113" spans="1:4" ht="20.25" x14ac:dyDescent="0.25">
      <c r="A113" s="94"/>
      <c r="B113" s="12"/>
      <c r="C113" s="23"/>
      <c r="D113" s="23"/>
    </row>
    <row r="114" spans="1:4" ht="20.25" x14ac:dyDescent="0.25">
      <c r="A114" s="94"/>
      <c r="B114" s="12"/>
      <c r="C114" s="23"/>
      <c r="D114" s="23"/>
    </row>
    <row r="115" spans="1:4" ht="20.25" x14ac:dyDescent="0.25">
      <c r="A115" s="94"/>
      <c r="B115" s="12"/>
      <c r="C115" s="23"/>
      <c r="D115" s="23"/>
    </row>
    <row r="116" spans="1:4" ht="20.25" x14ac:dyDescent="0.25">
      <c r="A116" s="94"/>
      <c r="B116" s="12"/>
      <c r="C116" s="23"/>
      <c r="D116" s="23"/>
    </row>
    <row r="117" spans="1:4" ht="20.25" x14ac:dyDescent="0.25">
      <c r="A117" s="94"/>
      <c r="B117" s="12"/>
      <c r="C117" s="23"/>
      <c r="D117" s="23"/>
    </row>
    <row r="118" spans="1:4" ht="20.25" x14ac:dyDescent="0.25">
      <c r="A118" s="94"/>
      <c r="B118" s="12"/>
      <c r="C118" s="23"/>
      <c r="D118" s="23"/>
    </row>
    <row r="119" spans="1:4" ht="20.25" x14ac:dyDescent="0.25">
      <c r="A119" s="94"/>
      <c r="B119" s="12"/>
      <c r="C119" s="23"/>
      <c r="D119" s="23"/>
    </row>
    <row r="120" spans="1:4" ht="20.25" x14ac:dyDescent="0.25">
      <c r="A120" s="94"/>
      <c r="B120" s="12"/>
      <c r="C120" s="23"/>
      <c r="D120" s="23"/>
    </row>
    <row r="121" spans="1:4" ht="20.25" x14ac:dyDescent="0.25">
      <c r="A121" s="94"/>
      <c r="B121" s="12"/>
      <c r="C121" s="23"/>
      <c r="D121" s="23"/>
    </row>
    <row r="122" spans="1:4" ht="20.25" x14ac:dyDescent="0.25">
      <c r="A122" s="94"/>
      <c r="B122" s="12"/>
      <c r="C122" s="23"/>
      <c r="D122" s="23"/>
    </row>
    <row r="123" spans="1:4" ht="20.25" x14ac:dyDescent="0.25">
      <c r="A123" s="94"/>
      <c r="B123" s="12"/>
      <c r="C123" s="23"/>
      <c r="D123" s="23"/>
    </row>
    <row r="124" spans="1:4" ht="20.25" x14ac:dyDescent="0.25">
      <c r="A124" s="94"/>
      <c r="B124" s="12"/>
      <c r="C124" s="23"/>
      <c r="D124" s="23"/>
    </row>
    <row r="125" spans="1:4" ht="20.25" x14ac:dyDescent="0.25">
      <c r="A125" s="94"/>
      <c r="B125" s="12"/>
      <c r="C125" s="23"/>
      <c r="D125" s="23"/>
    </row>
    <row r="126" spans="1:4" ht="20.25" x14ac:dyDescent="0.25">
      <c r="A126" s="94"/>
      <c r="B126" s="12"/>
      <c r="C126" s="23"/>
      <c r="D126" s="23"/>
    </row>
    <row r="127" spans="1:4" ht="20.25" x14ac:dyDescent="0.25">
      <c r="A127" s="94"/>
      <c r="B127" s="12"/>
      <c r="C127" s="23"/>
      <c r="D127" s="23"/>
    </row>
    <row r="128" spans="1:4" ht="20.25" x14ac:dyDescent="0.25">
      <c r="A128" s="94"/>
      <c r="B128" s="12"/>
      <c r="C128" s="23"/>
      <c r="D128" s="23"/>
    </row>
    <row r="129" spans="1:4" ht="20.25" x14ac:dyDescent="0.25">
      <c r="A129" s="94"/>
      <c r="B129" s="12"/>
      <c r="C129" s="23"/>
      <c r="D129" s="23"/>
    </row>
    <row r="130" spans="1:4" ht="20.25" x14ac:dyDescent="0.25">
      <c r="A130" s="94"/>
      <c r="B130" s="12"/>
      <c r="C130" s="23"/>
      <c r="D130" s="23"/>
    </row>
    <row r="131" spans="1:4" ht="20.25" x14ac:dyDescent="0.25">
      <c r="A131" s="94"/>
      <c r="B131" s="12"/>
      <c r="C131" s="23"/>
      <c r="D131" s="23"/>
    </row>
    <row r="132" spans="1:4" ht="20.25" x14ac:dyDescent="0.25">
      <c r="A132" s="94"/>
      <c r="B132" s="12"/>
      <c r="C132" s="23"/>
      <c r="D132" s="23"/>
    </row>
    <row r="133" spans="1:4" ht="20.25" x14ac:dyDescent="0.25">
      <c r="A133" s="94"/>
      <c r="B133" s="12"/>
      <c r="C133" s="23"/>
      <c r="D133" s="23"/>
    </row>
    <row r="134" spans="1:4" ht="20.25" x14ac:dyDescent="0.25">
      <c r="A134" s="94"/>
      <c r="B134" s="12"/>
      <c r="C134" s="23"/>
      <c r="D134" s="23"/>
    </row>
    <row r="135" spans="1:4" ht="20.25" x14ac:dyDescent="0.25">
      <c r="A135" s="94"/>
      <c r="B135" s="12"/>
      <c r="C135" s="23"/>
      <c r="D135" s="23"/>
    </row>
    <row r="136" spans="1:4" ht="20.25" x14ac:dyDescent="0.25">
      <c r="A136" s="94"/>
      <c r="B136" s="12"/>
      <c r="C136" s="23"/>
      <c r="D136" s="23"/>
    </row>
    <row r="137" spans="1:4" ht="20.25" x14ac:dyDescent="0.25">
      <c r="A137" s="94"/>
      <c r="B137" s="12"/>
      <c r="C137" s="23"/>
      <c r="D137" s="23"/>
    </row>
    <row r="138" spans="1:4" ht="20.25" x14ac:dyDescent="0.25">
      <c r="A138" s="94"/>
      <c r="B138" s="12"/>
      <c r="C138" s="23"/>
      <c r="D138" s="23"/>
    </row>
    <row r="139" spans="1:4" ht="20.25" x14ac:dyDescent="0.25">
      <c r="A139" s="94"/>
      <c r="B139" s="12"/>
      <c r="C139" s="23"/>
      <c r="D139" s="23"/>
    </row>
    <row r="140" spans="1:4" ht="20.25" x14ac:dyDescent="0.25">
      <c r="A140" s="94"/>
      <c r="B140" s="12"/>
      <c r="C140" s="23"/>
      <c r="D140" s="23"/>
    </row>
    <row r="141" spans="1:4" ht="20.25" x14ac:dyDescent="0.25">
      <c r="A141" s="94"/>
      <c r="B141" s="12"/>
      <c r="C141" s="23"/>
      <c r="D141" s="23"/>
    </row>
    <row r="142" spans="1:4" ht="20.25" x14ac:dyDescent="0.25">
      <c r="A142" s="94"/>
      <c r="B142" s="12"/>
      <c r="C142" s="23"/>
      <c r="D142" s="23"/>
    </row>
    <row r="143" spans="1:4" ht="20.25" x14ac:dyDescent="0.25">
      <c r="A143" s="94"/>
      <c r="B143" s="12"/>
      <c r="C143" s="23"/>
      <c r="D143" s="23"/>
    </row>
    <row r="144" spans="1:4" ht="20.25" x14ac:dyDescent="0.25">
      <c r="A144" s="94"/>
      <c r="B144" s="12"/>
      <c r="C144" s="23"/>
      <c r="D144" s="23"/>
    </row>
    <row r="145" spans="1:4" ht="20.25" x14ac:dyDescent="0.25">
      <c r="A145" s="94"/>
      <c r="B145" s="12"/>
      <c r="C145" s="23"/>
      <c r="D145" s="23"/>
    </row>
    <row r="146" spans="1:4" ht="20.25" x14ac:dyDescent="0.25">
      <c r="A146" s="94"/>
      <c r="B146" s="12"/>
      <c r="C146" s="23"/>
      <c r="D146" s="23"/>
    </row>
    <row r="147" spans="1:4" ht="20.25" x14ac:dyDescent="0.25">
      <c r="A147" s="94"/>
      <c r="B147" s="12"/>
      <c r="C147" s="23"/>
      <c r="D147" s="23"/>
    </row>
    <row r="148" spans="1:4" ht="20.25" x14ac:dyDescent="0.25">
      <c r="A148" s="94"/>
      <c r="B148" s="12"/>
      <c r="C148" s="23"/>
      <c r="D148" s="23"/>
    </row>
    <row r="149" spans="1:4" ht="20.25" x14ac:dyDescent="0.25">
      <c r="A149" s="94"/>
      <c r="B149" s="12"/>
      <c r="C149" s="23"/>
      <c r="D149" s="23"/>
    </row>
    <row r="150" spans="1:4" ht="20.25" x14ac:dyDescent="0.25">
      <c r="A150" s="94"/>
      <c r="B150" s="12"/>
      <c r="C150" s="23"/>
      <c r="D150" s="23"/>
    </row>
    <row r="151" spans="1:4" ht="20.25" x14ac:dyDescent="0.25">
      <c r="A151" s="94"/>
      <c r="B151" s="12"/>
      <c r="C151" s="23"/>
      <c r="D151" s="23"/>
    </row>
    <row r="152" spans="1:4" ht="20.25" x14ac:dyDescent="0.25">
      <c r="A152" s="94"/>
      <c r="B152" s="12"/>
      <c r="C152" s="23"/>
      <c r="D152" s="23"/>
    </row>
    <row r="153" spans="1:4" ht="20.25" x14ac:dyDescent="0.25">
      <c r="A153" s="94"/>
      <c r="B153" s="12"/>
      <c r="C153" s="23"/>
      <c r="D153" s="23"/>
    </row>
    <row r="154" spans="1:4" ht="20.25" x14ac:dyDescent="0.25">
      <c r="A154" s="94"/>
      <c r="B154" s="12"/>
      <c r="C154" s="23"/>
      <c r="D154" s="23"/>
    </row>
    <row r="155" spans="1:4" ht="20.25" x14ac:dyDescent="0.25">
      <c r="A155" s="94"/>
      <c r="B155" s="12"/>
      <c r="C155" s="23"/>
      <c r="D155" s="23"/>
    </row>
    <row r="156" spans="1:4" ht="20.25" x14ac:dyDescent="0.25">
      <c r="A156" s="94"/>
      <c r="B156" s="12"/>
      <c r="C156" s="23"/>
      <c r="D156" s="23"/>
    </row>
    <row r="157" spans="1:4" ht="20.25" x14ac:dyDescent="0.25">
      <c r="A157" s="94"/>
      <c r="B157" s="12"/>
      <c r="C157" s="23"/>
      <c r="D157" s="23"/>
    </row>
    <row r="158" spans="1:4" ht="20.25" x14ac:dyDescent="0.25">
      <c r="A158" s="94"/>
      <c r="B158" s="12"/>
      <c r="C158" s="23"/>
      <c r="D158" s="23"/>
    </row>
    <row r="159" spans="1:4" ht="20.25" x14ac:dyDescent="0.25">
      <c r="A159" s="94"/>
      <c r="B159" s="12"/>
      <c r="C159" s="23"/>
      <c r="D159" s="23"/>
    </row>
    <row r="160" spans="1:4" ht="20.25" x14ac:dyDescent="0.25">
      <c r="A160" s="94"/>
      <c r="B160" s="12"/>
      <c r="C160" s="23"/>
      <c r="D160" s="23"/>
    </row>
    <row r="161" spans="1:4" ht="20.25" x14ac:dyDescent="0.25">
      <c r="A161" s="94"/>
      <c r="B161" s="12"/>
      <c r="C161" s="23"/>
      <c r="D161" s="23"/>
    </row>
    <row r="162" spans="1:4" ht="20.25" x14ac:dyDescent="0.25">
      <c r="A162" s="94"/>
      <c r="B162" s="12"/>
      <c r="C162" s="23"/>
      <c r="D162" s="23"/>
    </row>
    <row r="163" spans="1:4" ht="20.25" x14ac:dyDescent="0.25">
      <c r="A163" s="94"/>
      <c r="B163" s="12"/>
      <c r="C163" s="23"/>
      <c r="D163" s="23"/>
    </row>
    <row r="164" spans="1:4" ht="20.25" x14ac:dyDescent="0.25">
      <c r="A164" s="94"/>
      <c r="B164" s="12"/>
      <c r="C164" s="23"/>
      <c r="D164" s="23"/>
    </row>
    <row r="165" spans="1:4" ht="20.25" x14ac:dyDescent="0.25">
      <c r="A165" s="94"/>
      <c r="B165" s="12"/>
      <c r="C165" s="23"/>
      <c r="D165" s="23"/>
    </row>
    <row r="166" spans="1:4" ht="20.25" x14ac:dyDescent="0.25">
      <c r="A166" s="94"/>
      <c r="B166" s="12"/>
      <c r="C166" s="23"/>
      <c r="D166" s="23"/>
    </row>
    <row r="167" spans="1:4" ht="20.25" x14ac:dyDescent="0.25">
      <c r="A167" s="94"/>
      <c r="B167" s="12"/>
      <c r="C167" s="23"/>
      <c r="D167" s="23"/>
    </row>
    <row r="168" spans="1:4" ht="20.25" x14ac:dyDescent="0.25">
      <c r="A168" s="94"/>
      <c r="B168" s="12"/>
      <c r="C168" s="23"/>
      <c r="D168" s="23"/>
    </row>
    <row r="169" spans="1:4" ht="20.25" x14ac:dyDescent="0.25">
      <c r="A169" s="94"/>
      <c r="B169" s="12"/>
      <c r="C169" s="23"/>
      <c r="D169" s="23"/>
    </row>
    <row r="170" spans="1:4" ht="20.25" x14ac:dyDescent="0.25">
      <c r="A170" s="94"/>
      <c r="B170" s="12"/>
      <c r="C170" s="23"/>
      <c r="D170" s="23"/>
    </row>
    <row r="171" spans="1:4" ht="20.25" x14ac:dyDescent="0.25">
      <c r="A171" s="94"/>
      <c r="B171" s="12"/>
      <c r="C171" s="23"/>
      <c r="D171" s="23"/>
    </row>
    <row r="172" spans="1:4" ht="20.25" x14ac:dyDescent="0.25">
      <c r="A172" s="94"/>
      <c r="B172" s="12"/>
      <c r="C172" s="23"/>
      <c r="D172" s="23"/>
    </row>
    <row r="173" spans="1:4" ht="20.25" x14ac:dyDescent="0.25">
      <c r="A173" s="94"/>
      <c r="B173" s="12"/>
      <c r="C173" s="23"/>
      <c r="D173" s="23"/>
    </row>
    <row r="174" spans="1:4" ht="20.25" x14ac:dyDescent="0.25">
      <c r="A174" s="94"/>
      <c r="B174" s="12"/>
      <c r="C174" s="23"/>
      <c r="D174" s="23"/>
    </row>
    <row r="175" spans="1:4" ht="20.25" x14ac:dyDescent="0.25">
      <c r="A175" s="94"/>
      <c r="B175" s="12"/>
      <c r="C175" s="23"/>
      <c r="D175" s="23"/>
    </row>
    <row r="176" spans="1:4" ht="20.25" x14ac:dyDescent="0.25">
      <c r="A176" s="94"/>
      <c r="B176" s="12"/>
      <c r="C176" s="23"/>
      <c r="D176" s="23"/>
    </row>
    <row r="177" spans="1:4" ht="20.25" x14ac:dyDescent="0.25">
      <c r="A177" s="94"/>
      <c r="B177" s="12"/>
      <c r="C177" s="23"/>
      <c r="D177" s="23"/>
    </row>
    <row r="178" spans="1:4" ht="20.25" x14ac:dyDescent="0.25">
      <c r="A178" s="94"/>
      <c r="B178" s="12"/>
      <c r="C178" s="23"/>
      <c r="D178" s="23"/>
    </row>
    <row r="179" spans="1:4" ht="20.25" x14ac:dyDescent="0.25">
      <c r="A179" s="94"/>
      <c r="B179" s="12"/>
      <c r="C179" s="23"/>
      <c r="D179" s="23"/>
    </row>
    <row r="180" spans="1:4" ht="20.25" x14ac:dyDescent="0.25">
      <c r="A180" s="94"/>
      <c r="B180" s="12"/>
      <c r="C180" s="23"/>
      <c r="D180" s="23"/>
    </row>
    <row r="181" spans="1:4" ht="20.25" x14ac:dyDescent="0.25">
      <c r="A181" s="94"/>
      <c r="B181" s="12"/>
      <c r="C181" s="23"/>
      <c r="D181" s="23"/>
    </row>
    <row r="182" spans="1:4" ht="20.25" x14ac:dyDescent="0.25">
      <c r="A182" s="94"/>
      <c r="B182" s="12"/>
      <c r="C182" s="23"/>
      <c r="D182" s="23"/>
    </row>
    <row r="183" spans="1:4" ht="20.25" x14ac:dyDescent="0.25">
      <c r="A183" s="94"/>
      <c r="B183" s="12"/>
      <c r="C183" s="23"/>
      <c r="D183" s="23"/>
    </row>
    <row r="184" spans="1:4" ht="20.25" x14ac:dyDescent="0.25">
      <c r="A184" s="94"/>
      <c r="B184" s="12"/>
      <c r="C184" s="23"/>
      <c r="D184" s="23"/>
    </row>
    <row r="185" spans="1:4" ht="20.25" x14ac:dyDescent="0.25">
      <c r="A185" s="94"/>
      <c r="B185" s="12"/>
      <c r="C185" s="23"/>
      <c r="D185" s="23"/>
    </row>
    <row r="186" spans="1:4" ht="20.25" x14ac:dyDescent="0.25">
      <c r="A186" s="94"/>
      <c r="B186" s="12"/>
      <c r="C186" s="23"/>
      <c r="D186" s="23"/>
    </row>
    <row r="187" spans="1:4" ht="20.25" x14ac:dyDescent="0.25">
      <c r="A187" s="94"/>
      <c r="B187" s="12"/>
      <c r="C187" s="23"/>
      <c r="D187" s="23"/>
    </row>
    <row r="188" spans="1:4" ht="20.25" x14ac:dyDescent="0.25">
      <c r="A188" s="94"/>
      <c r="B188" s="12"/>
      <c r="C188" s="23"/>
      <c r="D188" s="23"/>
    </row>
    <row r="189" spans="1:4" ht="20.25" x14ac:dyDescent="0.25">
      <c r="A189" s="94"/>
      <c r="B189" s="12"/>
      <c r="C189" s="23"/>
      <c r="D189" s="23"/>
    </row>
    <row r="190" spans="1:4" ht="20.25" x14ac:dyDescent="0.25">
      <c r="A190" s="94"/>
      <c r="B190" s="12"/>
      <c r="C190" s="23"/>
      <c r="D190" s="23"/>
    </row>
    <row r="191" spans="1:4" ht="20.25" x14ac:dyDescent="0.25">
      <c r="A191" s="94"/>
      <c r="B191" s="12"/>
      <c r="C191" s="23"/>
      <c r="D191" s="23"/>
    </row>
    <row r="192" spans="1:4" ht="20.25" x14ac:dyDescent="0.25">
      <c r="A192" s="94"/>
      <c r="B192" s="12"/>
      <c r="C192" s="23"/>
      <c r="D192" s="23"/>
    </row>
    <row r="193" spans="1:4" ht="20.25" x14ac:dyDescent="0.25">
      <c r="A193" s="94"/>
      <c r="B193" s="12"/>
      <c r="C193" s="23"/>
      <c r="D193" s="23"/>
    </row>
    <row r="194" spans="1:4" ht="20.25" x14ac:dyDescent="0.25">
      <c r="A194" s="94"/>
      <c r="B194" s="12"/>
      <c r="C194" s="23"/>
      <c r="D194" s="23"/>
    </row>
    <row r="195" spans="1:4" ht="20.25" x14ac:dyDescent="0.25">
      <c r="A195" s="94"/>
      <c r="B195" s="12"/>
      <c r="C195" s="23"/>
      <c r="D195" s="23"/>
    </row>
    <row r="196" spans="1:4" ht="20.25" x14ac:dyDescent="0.25">
      <c r="A196" s="94"/>
      <c r="B196" s="12"/>
      <c r="C196" s="23"/>
      <c r="D196" s="23"/>
    </row>
    <row r="197" spans="1:4" ht="20.25" x14ac:dyDescent="0.25">
      <c r="A197" s="94"/>
      <c r="B197" s="12"/>
      <c r="C197" s="23"/>
      <c r="D197" s="23"/>
    </row>
    <row r="198" spans="1:4" ht="20.25" x14ac:dyDescent="0.25">
      <c r="A198" s="94"/>
      <c r="B198" s="12"/>
      <c r="C198" s="23"/>
      <c r="D198" s="23"/>
    </row>
    <row r="199" spans="1:4" ht="20.25" x14ac:dyDescent="0.25">
      <c r="A199" s="94"/>
      <c r="B199" s="12"/>
      <c r="C199" s="23"/>
      <c r="D199" s="23"/>
    </row>
    <row r="200" spans="1:4" ht="20.25" x14ac:dyDescent="0.25">
      <c r="A200" s="94"/>
      <c r="B200" s="12"/>
      <c r="C200" s="23"/>
      <c r="D200" s="23"/>
    </row>
    <row r="201" spans="1:4" ht="20.25" x14ac:dyDescent="0.25">
      <c r="A201" s="94"/>
      <c r="B201" s="12"/>
      <c r="C201" s="23"/>
      <c r="D201" s="23"/>
    </row>
    <row r="202" spans="1:4" ht="20.25" x14ac:dyDescent="0.25">
      <c r="A202" s="94"/>
      <c r="B202" s="12"/>
      <c r="C202" s="23"/>
      <c r="D202" s="23"/>
    </row>
    <row r="203" spans="1:4" ht="20.25" x14ac:dyDescent="0.25">
      <c r="A203" s="94"/>
      <c r="B203" s="12"/>
      <c r="C203" s="23"/>
      <c r="D203" s="23"/>
    </row>
    <row r="204" spans="1:4" ht="20.25" x14ac:dyDescent="0.25">
      <c r="A204" s="94"/>
      <c r="B204" s="12"/>
      <c r="C204" s="23"/>
      <c r="D204" s="23"/>
    </row>
    <row r="205" spans="1:4" ht="20.25" x14ac:dyDescent="0.25">
      <c r="A205" s="94"/>
      <c r="B205" s="12"/>
      <c r="C205" s="23"/>
      <c r="D205" s="23"/>
    </row>
    <row r="206" spans="1:4" ht="20.25" x14ac:dyDescent="0.25">
      <c r="A206" s="94"/>
      <c r="B206" s="12"/>
      <c r="C206" s="23"/>
      <c r="D206" s="23"/>
    </row>
    <row r="207" spans="1:4" ht="20.25" x14ac:dyDescent="0.25">
      <c r="A207" s="94"/>
      <c r="B207" s="12"/>
      <c r="C207" s="23"/>
      <c r="D207" s="23"/>
    </row>
    <row r="208" spans="1:4" x14ac:dyDescent="0.25">
      <c r="A208" s="74"/>
      <c r="B208" s="12"/>
      <c r="C208" s="12"/>
      <c r="D208" s="12"/>
    </row>
    <row r="209" spans="1:8" ht="20.25" x14ac:dyDescent="0.25">
      <c r="A209" s="74"/>
      <c r="B209" s="19" t="s">
        <v>88</v>
      </c>
      <c r="C209" s="19" t="s">
        <v>143</v>
      </c>
      <c r="D209" s="22" t="s">
        <v>88</v>
      </c>
      <c r="E209" s="22" t="s">
        <v>143</v>
      </c>
    </row>
    <row r="210" spans="1:8" ht="21" x14ac:dyDescent="0.35">
      <c r="A210" s="74"/>
      <c r="B210" s="20" t="s">
        <v>90</v>
      </c>
      <c r="C210" s="20"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74"/>
      <c r="B211" s="20" t="s">
        <v>90</v>
      </c>
      <c r="C211" s="20" t="s">
        <v>93</v>
      </c>
      <c r="E211" t="s">
        <v>58</v>
      </c>
      <c r="F211" t="str">
        <f t="shared" ref="F211:F221" si="0">IF(NOT(ISBLANK(D211)),D211,IF(NOT(ISBLANK(E211)),"     "&amp;E211,FALSE))</f>
        <v xml:space="preserve">     Afectación menor a 10 SMLMV .</v>
      </c>
    </row>
    <row r="212" spans="1:8" ht="21" x14ac:dyDescent="0.35">
      <c r="A212" s="74"/>
      <c r="B212" s="20" t="s">
        <v>90</v>
      </c>
      <c r="C212" s="20" t="s">
        <v>94</v>
      </c>
      <c r="E212" t="s">
        <v>93</v>
      </c>
      <c r="F212" t="str">
        <f t="shared" si="0"/>
        <v xml:space="preserve">     Entre 10 y 50 SMLMV </v>
      </c>
    </row>
    <row r="213" spans="1:8" ht="21" x14ac:dyDescent="0.35">
      <c r="A213" s="74"/>
      <c r="B213" s="20" t="s">
        <v>90</v>
      </c>
      <c r="C213" s="20" t="s">
        <v>95</v>
      </c>
      <c r="E213" t="s">
        <v>94</v>
      </c>
      <c r="F213" t="str">
        <f t="shared" si="0"/>
        <v xml:space="preserve">     Entre 50 y 100 SMLMV </v>
      </c>
    </row>
    <row r="214" spans="1:8" ht="21" x14ac:dyDescent="0.35">
      <c r="A214" s="74"/>
      <c r="B214" s="20" t="s">
        <v>90</v>
      </c>
      <c r="C214" s="20" t="s">
        <v>96</v>
      </c>
      <c r="E214" t="s">
        <v>95</v>
      </c>
      <c r="F214" t="str">
        <f t="shared" si="0"/>
        <v xml:space="preserve">     Entre 100 y 500 SMLMV </v>
      </c>
    </row>
    <row r="215" spans="1:8" ht="21" x14ac:dyDescent="0.35">
      <c r="A215" s="74"/>
      <c r="B215" s="20" t="s">
        <v>57</v>
      </c>
      <c r="C215" s="20" t="s">
        <v>97</v>
      </c>
      <c r="E215" t="s">
        <v>96</v>
      </c>
      <c r="F215" t="str">
        <f t="shared" si="0"/>
        <v xml:space="preserve">     Mayor a 500 SMLMV </v>
      </c>
    </row>
    <row r="216" spans="1:8" ht="21" x14ac:dyDescent="0.35">
      <c r="A216" s="74"/>
      <c r="B216" s="20" t="s">
        <v>57</v>
      </c>
      <c r="C216" s="20" t="s">
        <v>98</v>
      </c>
      <c r="D216" t="s">
        <v>57</v>
      </c>
      <c r="F216" t="str">
        <f t="shared" si="0"/>
        <v>Pérdida Reputacional</v>
      </c>
    </row>
    <row r="217" spans="1:8" ht="21" x14ac:dyDescent="0.35">
      <c r="A217" s="74"/>
      <c r="B217" s="20" t="s">
        <v>57</v>
      </c>
      <c r="C217" s="20" t="s">
        <v>100</v>
      </c>
      <c r="E217" t="s">
        <v>97</v>
      </c>
      <c r="F217" t="str">
        <f t="shared" si="0"/>
        <v xml:space="preserve">     El riesgo afecta la imagen de alguna área de la organización</v>
      </c>
    </row>
    <row r="218" spans="1:8" ht="21" x14ac:dyDescent="0.35">
      <c r="A218" s="74"/>
      <c r="B218" s="20" t="s">
        <v>57</v>
      </c>
      <c r="C218" s="20" t="s">
        <v>99</v>
      </c>
      <c r="E218" t="s">
        <v>98</v>
      </c>
      <c r="F218" t="str">
        <f t="shared" si="0"/>
        <v xml:space="preserve">     El riesgo afecta la imagen de la entidad internamente, de conocimiento general, nivel interno, de junta dircetiva y accionistas y/o de provedores</v>
      </c>
    </row>
    <row r="219" spans="1:8" ht="21" x14ac:dyDescent="0.35">
      <c r="A219" s="74"/>
      <c r="B219" s="20" t="s">
        <v>57</v>
      </c>
      <c r="C219" s="20" t="s">
        <v>116</v>
      </c>
      <c r="E219" t="s">
        <v>100</v>
      </c>
      <c r="F219" t="str">
        <f t="shared" si="0"/>
        <v xml:space="preserve">     El riesgo afecta la imagen de la entidad con algunos usuarios de relevancia frente al logro de los objetivos</v>
      </c>
    </row>
    <row r="220" spans="1:8" x14ac:dyDescent="0.25">
      <c r="A220" s="74"/>
      <c r="B220" s="21"/>
      <c r="C220" s="21"/>
      <c r="E220" t="s">
        <v>99</v>
      </c>
      <c r="F220" t="str">
        <f t="shared" si="0"/>
        <v xml:space="preserve">     El riesgo afecta la imagen de de la entidad con efecto publicitario sostenido a nivel de sector administrativo, nivel departamental o municipal</v>
      </c>
    </row>
    <row r="221" spans="1:8" x14ac:dyDescent="0.25">
      <c r="A221" s="74"/>
      <c r="B221" s="21" t="e" cm="1">
        <f t="array" aca="1" ref="B221:B223" ca="1">_xlfn.UNIQUE(Tabla1[[#All],[Criterios]])</f>
        <v>#NAME?</v>
      </c>
      <c r="C221" s="21"/>
      <c r="E221" t="s">
        <v>116</v>
      </c>
      <c r="F221" t="str">
        <f t="shared" si="0"/>
        <v xml:space="preserve">     El riesgo afecta la imagen de la entidad a nivel nacional, con efecto publicitarios sostenible a nivel país</v>
      </c>
    </row>
    <row r="222" spans="1:8" x14ac:dyDescent="0.25">
      <c r="A222" s="74"/>
      <c r="B222" s="21" t="e">
        <f ca="1"/>
        <v>#NAME?</v>
      </c>
      <c r="C222" s="21"/>
    </row>
    <row r="223" spans="1:8" x14ac:dyDescent="0.25">
      <c r="B223" s="21" t="e">
        <f ca="1"/>
        <v>#NAME?</v>
      </c>
      <c r="C223" s="21"/>
      <c r="F223" s="24" t="s">
        <v>145</v>
      </c>
    </row>
    <row r="224" spans="1:8" x14ac:dyDescent="0.25">
      <c r="B224" s="11"/>
      <c r="C224" s="11"/>
      <c r="F224" s="24" t="s">
        <v>146</v>
      </c>
    </row>
    <row r="225" spans="2:4" x14ac:dyDescent="0.25">
      <c r="B225" s="11"/>
      <c r="C225" s="11"/>
    </row>
    <row r="226" spans="2:4" x14ac:dyDescent="0.25">
      <c r="B226" s="11"/>
      <c r="C226" s="11"/>
    </row>
    <row r="227" spans="2:4" x14ac:dyDescent="0.25">
      <c r="B227" s="11"/>
      <c r="C227" s="11"/>
      <c r="D227" s="11"/>
    </row>
    <row r="228" spans="2:4" x14ac:dyDescent="0.25">
      <c r="B228" s="11"/>
      <c r="C228" s="11"/>
      <c r="D228" s="11"/>
    </row>
    <row r="229" spans="2:4" x14ac:dyDescent="0.25">
      <c r="B229" s="11"/>
      <c r="C229" s="11"/>
      <c r="D229" s="11"/>
    </row>
    <row r="230" spans="2:4" x14ac:dyDescent="0.25">
      <c r="B230" s="11"/>
      <c r="C230" s="11"/>
      <c r="D230" s="11"/>
    </row>
    <row r="231" spans="2:4" x14ac:dyDescent="0.25">
      <c r="B231" s="11"/>
      <c r="C231" s="11"/>
      <c r="D231" s="11"/>
    </row>
    <row r="232" spans="2:4" x14ac:dyDescent="0.25">
      <c r="B232" s="11"/>
      <c r="C232" s="11"/>
      <c r="D232" s="1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B1" sqref="B1:F1"/>
    </sheetView>
  </sheetViews>
  <sheetFormatPr baseColWidth="10" defaultColWidth="14.28515625" defaultRowHeight="12.75" x14ac:dyDescent="0.2"/>
  <cols>
    <col min="1" max="2" width="14.28515625" style="79"/>
    <col min="3" max="3" width="17" style="79" customWidth="1"/>
    <col min="4" max="4" width="14.28515625" style="79"/>
    <col min="5" max="5" width="46" style="79" customWidth="1"/>
    <col min="6" max="16384" width="14.28515625" style="79"/>
  </cols>
  <sheetData>
    <row r="1" spans="2:6" ht="24" customHeight="1" thickBot="1" x14ac:dyDescent="0.25">
      <c r="B1" s="374" t="s">
        <v>78</v>
      </c>
      <c r="C1" s="375"/>
      <c r="D1" s="375"/>
      <c r="E1" s="375"/>
      <c r="F1" s="376"/>
    </row>
    <row r="2" spans="2:6" ht="16.5" thickBot="1" x14ac:dyDescent="0.3">
      <c r="B2" s="80"/>
      <c r="C2" s="80"/>
      <c r="D2" s="80"/>
      <c r="E2" s="80"/>
      <c r="F2" s="80"/>
    </row>
    <row r="3" spans="2:6" ht="16.5" thickBot="1" x14ac:dyDescent="0.25">
      <c r="B3" s="378" t="s">
        <v>64</v>
      </c>
      <c r="C3" s="379"/>
      <c r="D3" s="379"/>
      <c r="E3" s="92" t="s">
        <v>65</v>
      </c>
      <c r="F3" s="93" t="s">
        <v>66</v>
      </c>
    </row>
    <row r="4" spans="2:6" ht="31.5" x14ac:dyDescent="0.2">
      <c r="B4" s="380" t="s">
        <v>67</v>
      </c>
      <c r="C4" s="382" t="s">
        <v>13</v>
      </c>
      <c r="D4" s="81" t="s">
        <v>14</v>
      </c>
      <c r="E4" s="82" t="s">
        <v>68</v>
      </c>
      <c r="F4" s="83">
        <v>0.25</v>
      </c>
    </row>
    <row r="5" spans="2:6" ht="47.25" x14ac:dyDescent="0.2">
      <c r="B5" s="381"/>
      <c r="C5" s="383"/>
      <c r="D5" s="84" t="s">
        <v>15</v>
      </c>
      <c r="E5" s="85" t="s">
        <v>69</v>
      </c>
      <c r="F5" s="86">
        <v>0.15</v>
      </c>
    </row>
    <row r="6" spans="2:6" ht="47.25" x14ac:dyDescent="0.2">
      <c r="B6" s="381"/>
      <c r="C6" s="383"/>
      <c r="D6" s="84" t="s">
        <v>16</v>
      </c>
      <c r="E6" s="85" t="s">
        <v>70</v>
      </c>
      <c r="F6" s="86">
        <v>0.1</v>
      </c>
    </row>
    <row r="7" spans="2:6" ht="63" x14ac:dyDescent="0.2">
      <c r="B7" s="381"/>
      <c r="C7" s="383" t="s">
        <v>17</v>
      </c>
      <c r="D7" s="84" t="s">
        <v>10</v>
      </c>
      <c r="E7" s="85" t="s">
        <v>71</v>
      </c>
      <c r="F7" s="86">
        <v>0.25</v>
      </c>
    </row>
    <row r="8" spans="2:6" ht="31.5" x14ac:dyDescent="0.2">
      <c r="B8" s="381"/>
      <c r="C8" s="383"/>
      <c r="D8" s="84" t="s">
        <v>9</v>
      </c>
      <c r="E8" s="85" t="s">
        <v>72</v>
      </c>
      <c r="F8" s="86">
        <v>0.15</v>
      </c>
    </row>
    <row r="9" spans="2:6" ht="47.25" x14ac:dyDescent="0.2">
      <c r="B9" s="381" t="s">
        <v>160</v>
      </c>
      <c r="C9" s="383" t="s">
        <v>18</v>
      </c>
      <c r="D9" s="84" t="s">
        <v>19</v>
      </c>
      <c r="E9" s="85" t="s">
        <v>73</v>
      </c>
      <c r="F9" s="87" t="s">
        <v>74</v>
      </c>
    </row>
    <row r="10" spans="2:6" ht="63" x14ac:dyDescent="0.2">
      <c r="B10" s="381"/>
      <c r="C10" s="383"/>
      <c r="D10" s="84" t="s">
        <v>20</v>
      </c>
      <c r="E10" s="85" t="s">
        <v>75</v>
      </c>
      <c r="F10" s="87" t="s">
        <v>74</v>
      </c>
    </row>
    <row r="11" spans="2:6" ht="47.25" x14ac:dyDescent="0.2">
      <c r="B11" s="381"/>
      <c r="C11" s="383" t="s">
        <v>21</v>
      </c>
      <c r="D11" s="84" t="s">
        <v>22</v>
      </c>
      <c r="E11" s="85" t="s">
        <v>76</v>
      </c>
      <c r="F11" s="87" t="s">
        <v>74</v>
      </c>
    </row>
    <row r="12" spans="2:6" ht="47.25" x14ac:dyDescent="0.2">
      <c r="B12" s="381"/>
      <c r="C12" s="383"/>
      <c r="D12" s="84" t="s">
        <v>23</v>
      </c>
      <c r="E12" s="85" t="s">
        <v>77</v>
      </c>
      <c r="F12" s="87" t="s">
        <v>74</v>
      </c>
    </row>
    <row r="13" spans="2:6" ht="31.5" x14ac:dyDescent="0.2">
      <c r="B13" s="381"/>
      <c r="C13" s="383" t="s">
        <v>24</v>
      </c>
      <c r="D13" s="84" t="s">
        <v>117</v>
      </c>
      <c r="E13" s="85" t="s">
        <v>120</v>
      </c>
      <c r="F13" s="87" t="s">
        <v>74</v>
      </c>
    </row>
    <row r="14" spans="2:6" ht="32.25" thickBot="1" x14ac:dyDescent="0.25">
      <c r="B14" s="384"/>
      <c r="C14" s="385"/>
      <c r="D14" s="88" t="s">
        <v>118</v>
      </c>
      <c r="E14" s="89" t="s">
        <v>119</v>
      </c>
      <c r="F14" s="90" t="s">
        <v>74</v>
      </c>
    </row>
    <row r="15" spans="2:6" ht="49.5" customHeight="1" x14ac:dyDescent="0.2">
      <c r="B15" s="377" t="s">
        <v>157</v>
      </c>
      <c r="C15" s="377"/>
      <c r="D15" s="377"/>
      <c r="E15" s="377"/>
      <c r="F15" s="377"/>
    </row>
    <row r="16" spans="2:6" ht="27" customHeight="1" x14ac:dyDescent="0.25">
      <c r="B16" s="9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86</v>
      </c>
    </row>
    <row r="9" spans="2:5" x14ac:dyDescent="0.25">
      <c r="B9" t="s">
        <v>40</v>
      </c>
    </row>
    <row r="10" spans="2:5" x14ac:dyDescent="0.25">
      <c r="B10" t="s">
        <v>41</v>
      </c>
    </row>
    <row r="13" spans="2:5" x14ac:dyDescent="0.25">
      <c r="B13" t="s">
        <v>127</v>
      </c>
    </row>
    <row r="14" spans="2:5" x14ac:dyDescent="0.25">
      <c r="B14" t="s">
        <v>121</v>
      </c>
    </row>
    <row r="15" spans="2:5" x14ac:dyDescent="0.25">
      <c r="B15" t="s">
        <v>124</v>
      </c>
    </row>
    <row r="16" spans="2:5" x14ac:dyDescent="0.25">
      <c r="B16" t="s">
        <v>122</v>
      </c>
    </row>
    <row r="17" spans="2:2" x14ac:dyDescent="0.25">
      <c r="B17" t="s">
        <v>123</v>
      </c>
    </row>
    <row r="18" spans="2:2" x14ac:dyDescent="0.25">
      <c r="B18" t="s">
        <v>125</v>
      </c>
    </row>
    <row r="19" spans="2:2" x14ac:dyDescent="0.25">
      <c r="B19" t="s">
        <v>126</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14</v>
      </c>
    </row>
    <row r="4" spans="1:1" x14ac:dyDescent="0.2">
      <c r="A4" s="9" t="s">
        <v>15</v>
      </c>
    </row>
    <row r="5" spans="1:1" x14ac:dyDescent="0.2">
      <c r="A5" s="9" t="s">
        <v>16</v>
      </c>
    </row>
    <row r="6" spans="1:1" x14ac:dyDescent="0.2">
      <c r="A6" s="9" t="s">
        <v>10</v>
      </c>
    </row>
    <row r="7" spans="1:1" x14ac:dyDescent="0.2">
      <c r="A7" s="9" t="s">
        <v>9</v>
      </c>
    </row>
    <row r="8" spans="1:1" x14ac:dyDescent="0.2">
      <c r="A8" s="9" t="s">
        <v>19</v>
      </c>
    </row>
    <row r="9" spans="1:1" x14ac:dyDescent="0.2">
      <c r="A9" s="9" t="s">
        <v>20</v>
      </c>
    </row>
    <row r="10" spans="1:1" x14ac:dyDescent="0.2">
      <c r="A10" s="9" t="s">
        <v>22</v>
      </c>
    </row>
    <row r="11" spans="1:1" x14ac:dyDescent="0.2">
      <c r="A11" s="9" t="s">
        <v>23</v>
      </c>
    </row>
    <row r="12" spans="1:1" x14ac:dyDescent="0.2">
      <c r="A12" s="9" t="s">
        <v>25</v>
      </c>
    </row>
    <row r="13" spans="1:1" x14ac:dyDescent="0.2">
      <c r="A13" s="9" t="s">
        <v>26</v>
      </c>
    </row>
    <row r="14" spans="1:1" x14ac:dyDescent="0.2">
      <c r="A14" s="9" t="s">
        <v>27</v>
      </c>
    </row>
    <row r="16" spans="1:1" x14ac:dyDescent="0.2">
      <c r="A16" s="9" t="s">
        <v>30</v>
      </c>
    </row>
    <row r="17" spans="1:1" x14ac:dyDescent="0.2">
      <c r="A17" s="9" t="s">
        <v>31</v>
      </c>
    </row>
    <row r="18" spans="1:1" x14ac:dyDescent="0.2">
      <c r="A18" s="9" t="s">
        <v>32</v>
      </c>
    </row>
    <row r="20" spans="1:1" x14ac:dyDescent="0.2">
      <c r="A20" s="9" t="s">
        <v>40</v>
      </c>
    </row>
    <row r="21" spans="1:1" x14ac:dyDescent="0.2">
      <c r="A21" s="9"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lenovo</cp:lastModifiedBy>
  <cp:lastPrinted>2020-05-13T01:12:22Z</cp:lastPrinted>
  <dcterms:created xsi:type="dcterms:W3CDTF">2020-03-24T23:12:47Z</dcterms:created>
  <dcterms:modified xsi:type="dcterms:W3CDTF">2023-01-25T15:41:03Z</dcterms:modified>
</cp:coreProperties>
</file>