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hidePivotFieldList="1" defaultThemeVersion="124226"/>
  <mc:AlternateContent xmlns:mc="http://schemas.openxmlformats.org/markup-compatibility/2006">
    <mc:Choice Requires="x15">
      <x15ac:absPath xmlns:x15ac="http://schemas.microsoft.com/office/spreadsheetml/2010/11/ac" url="C:\Users\lenovo\Desktop\ICTM\ADMINISTRACIÓN DEL RIESGO\Mapa de Riesgos\31 de Enero de 2023\"/>
    </mc:Choice>
  </mc:AlternateContent>
  <xr:revisionPtr revIDLastSave="0" documentId="13_ncr:1_{B2B67778-7153-4E36-A4F4-24029793E6B9}" xr6:coauthVersionLast="46" xr6:coauthVersionMax="46"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1" r:id="rId10"/>
  </pivotCaches>
</workbook>
</file>

<file path=xl/calcChain.xml><?xml version="1.0" encoding="utf-8"?>
<calcChain xmlns="http://schemas.openxmlformats.org/spreadsheetml/2006/main">
  <c r="T16" i="1" l="1"/>
  <c r="Q16" i="1"/>
  <c r="T15" i="1" l="1"/>
  <c r="Q15" i="1"/>
  <c r="T14" i="1"/>
  <c r="Q14" i="1"/>
  <c r="AB15" i="1" s="1"/>
  <c r="AA15" i="1" s="1"/>
  <c r="T13" i="1"/>
  <c r="Q13" i="1"/>
  <c r="AB14" i="1" s="1"/>
  <c r="AA14" i="1" s="1"/>
  <c r="T12" i="1"/>
  <c r="Q12" i="1"/>
  <c r="AB13" i="1" s="1"/>
  <c r="AA13" i="1" s="1"/>
  <c r="T11" i="1"/>
  <c r="Q11" i="1"/>
  <c r="AB12" i="1" s="1"/>
  <c r="AA12" i="1" s="1"/>
  <c r="T10" i="1"/>
  <c r="Q10" i="1"/>
  <c r="AB11" i="1" s="1"/>
  <c r="AA11" i="1" s="1"/>
  <c r="K15" i="1"/>
  <c r="K14" i="1"/>
  <c r="K13" i="1"/>
  <c r="K12" i="1"/>
  <c r="K11" i="1"/>
  <c r="H10" i="1"/>
  <c r="I10" i="1" s="1"/>
  <c r="H52" i="1"/>
  <c r="H46" i="1"/>
  <c r="H40" i="1"/>
  <c r="H34" i="1"/>
  <c r="H28" i="1"/>
  <c r="H22" i="1"/>
  <c r="H16" i="1"/>
  <c r="K50" i="1"/>
  <c r="K57" i="1"/>
  <c r="K42" i="1"/>
  <c r="K44" i="1"/>
  <c r="K38" i="1"/>
  <c r="K43" i="1"/>
  <c r="K30" i="1"/>
  <c r="K56" i="1"/>
  <c r="K39" i="1"/>
  <c r="K31" i="1"/>
  <c r="K47" i="1"/>
  <c r="K17" i="1"/>
  <c r="K18" i="1"/>
  <c r="K23" i="1"/>
  <c r="K27" i="1"/>
  <c r="K54" i="1"/>
  <c r="K20" i="1"/>
  <c r="K24" i="1"/>
  <c r="K41" i="1"/>
  <c r="K49" i="1"/>
  <c r="K45" i="1"/>
  <c r="K37" i="1"/>
  <c r="K26" i="1"/>
  <c r="K51" i="1"/>
  <c r="K25" i="1"/>
  <c r="K55" i="1"/>
  <c r="K32" i="1"/>
  <c r="K21" i="1"/>
  <c r="K19" i="1"/>
  <c r="K48" i="1"/>
  <c r="K36" i="1"/>
  <c r="K35" i="1"/>
  <c r="K53" i="1"/>
  <c r="K29" i="1"/>
  <c r="K33" i="1"/>
  <c r="X10" i="1" l="1"/>
  <c r="X11" i="1"/>
  <c r="X12" i="1"/>
  <c r="X13" i="1"/>
  <c r="X14" i="1"/>
  <c r="X15" i="1"/>
  <c r="F221" i="13"/>
  <c r="F211" i="13"/>
  <c r="F212" i="13"/>
  <c r="F213" i="13"/>
  <c r="F214" i="13"/>
  <c r="F215" i="13"/>
  <c r="F216" i="13"/>
  <c r="F217" i="13"/>
  <c r="F218" i="13"/>
  <c r="F219" i="13"/>
  <c r="F220" i="13"/>
  <c r="F210" i="13"/>
  <c r="B221" i="13" a="1"/>
  <c r="Y12" i="1" l="1"/>
  <c r="AC12" i="1" s="1"/>
  <c r="Z12" i="1"/>
  <c r="Y15" i="1"/>
  <c r="AC15" i="1" s="1"/>
  <c r="Z15" i="1"/>
  <c r="Y11" i="1"/>
  <c r="AC11" i="1" s="1"/>
  <c r="Z11" i="1"/>
  <c r="Y14" i="1"/>
  <c r="AC14" i="1" s="1"/>
  <c r="Z14" i="1"/>
  <c r="Y13" i="1"/>
  <c r="AC13" i="1" s="1"/>
  <c r="Z13" i="1"/>
  <c r="Y10" i="1"/>
  <c r="Z10" i="1"/>
  <c r="B221" i="13"/>
  <c r="Q40" i="1"/>
  <c r="Q35" i="1"/>
  <c r="Q2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T29" i="1"/>
  <c r="T28" i="1"/>
  <c r="Q28" i="1"/>
  <c r="I28" i="1"/>
  <c r="T27" i="1"/>
  <c r="Q27" i="1"/>
  <c r="T26" i="1"/>
  <c r="Q26" i="1"/>
  <c r="T25" i="1"/>
  <c r="Q25" i="1"/>
  <c r="T24" i="1"/>
  <c r="Q24" i="1"/>
  <c r="T23" i="1"/>
  <c r="Q23" i="1"/>
  <c r="T22" i="1"/>
  <c r="Q22" i="1"/>
  <c r="I22" i="1"/>
  <c r="T21" i="1"/>
  <c r="Q21" i="1"/>
  <c r="T20" i="1"/>
  <c r="Q20" i="1"/>
  <c r="T19" i="1"/>
  <c r="Q19" i="1"/>
  <c r="T18" i="1"/>
  <c r="Q18" i="1"/>
  <c r="T17" i="1"/>
  <c r="Q17" i="1"/>
  <c r="I16" i="1"/>
  <c r="X16" i="1" s="1"/>
  <c r="Z16" i="1" l="1"/>
  <c r="Y16" i="1"/>
  <c r="AB38" i="1"/>
  <c r="AA38" i="1" s="1"/>
  <c r="AB39" i="1"/>
  <c r="AA39" i="1" s="1"/>
  <c r="X52" i="1"/>
  <c r="X46" i="1"/>
  <c r="X40" i="1"/>
  <c r="X34" i="1"/>
  <c r="X38" i="1"/>
  <c r="X39" i="1"/>
  <c r="X22" i="1"/>
  <c r="Y52" i="1" l="1"/>
  <c r="Z52" i="1"/>
  <c r="X53" i="1" s="1"/>
  <c r="Y53" i="1" s="1"/>
  <c r="Y46" i="1"/>
  <c r="Z46" i="1"/>
  <c r="X47" i="1" s="1"/>
  <c r="Z47" i="1" s="1"/>
  <c r="X48" i="1" s="1"/>
  <c r="Y40" i="1"/>
  <c r="Z40" i="1"/>
  <c r="X41" i="1" s="1"/>
  <c r="Z41" i="1" s="1"/>
  <c r="X42" i="1" s="1"/>
  <c r="Y39" i="1"/>
  <c r="Z39" i="1"/>
  <c r="Y38" i="1"/>
  <c r="Z38" i="1"/>
  <c r="Y34" i="1"/>
  <c r="Z34" i="1"/>
  <c r="Y28" i="1"/>
  <c r="Y22" i="1"/>
  <c r="Z22" i="1"/>
  <c r="X17" i="1"/>
  <c r="Z17" i="1" s="1"/>
  <c r="X18" i="1" s="1"/>
  <c r="Y18" i="1" s="1"/>
  <c r="Y47" i="1" l="1"/>
  <c r="Y41" i="1"/>
  <c r="Y29" i="1"/>
  <c r="Y17" i="1"/>
  <c r="Y30" i="1"/>
  <c r="Z48" i="1"/>
  <c r="X49" i="1" s="1"/>
  <c r="Y48" i="1"/>
  <c r="Z42" i="1"/>
  <c r="X43" i="1" s="1"/>
  <c r="Y42" i="1"/>
  <c r="Z53" i="1"/>
  <c r="X54" i="1" s="1"/>
  <c r="X23" i="1"/>
  <c r="X35" i="1"/>
  <c r="X36"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Y36" i="1"/>
  <c r="Z36" i="1"/>
  <c r="X37" i="1" s="1"/>
  <c r="Y54" i="1"/>
  <c r="Z54" i="1"/>
  <c r="X55" i="1" s="1"/>
  <c r="Y35" i="1"/>
  <c r="Z35" i="1"/>
  <c r="Y23" i="1"/>
  <c r="Z23" i="1"/>
  <c r="X24" i="1" s="1"/>
  <c r="Y24" i="1" s="1"/>
  <c r="X20" i="1"/>
  <c r="Y20" i="1" s="1"/>
  <c r="X19" i="1"/>
  <c r="Z24" i="1" l="1"/>
  <c r="X25" i="1" s="1"/>
  <c r="Z25" i="1" s="1"/>
  <c r="X26" i="1" s="1"/>
  <c r="Y44" i="1"/>
  <c r="Z44" i="1"/>
  <c r="X45" i="1" s="1"/>
  <c r="X50" i="1"/>
  <c r="X51" i="1"/>
  <c r="Y31" i="1"/>
  <c r="Y32" i="1"/>
  <c r="Y37" i="1"/>
  <c r="Z37" i="1"/>
  <c r="Z55" i="1"/>
  <c r="Y55" i="1"/>
  <c r="Y19" i="1"/>
  <c r="Z19" i="1"/>
  <c r="Z20" i="1"/>
  <c r="X21" i="1" s="1"/>
  <c r="Y25" i="1" l="1"/>
  <c r="Y51" i="1"/>
  <c r="Z51" i="1"/>
  <c r="Y50" i="1"/>
  <c r="Z50" i="1"/>
  <c r="Y45" i="1"/>
  <c r="Z45" i="1"/>
  <c r="X56" i="1"/>
  <c r="X57" i="1"/>
  <c r="Y33" i="1"/>
  <c r="Z26" i="1"/>
  <c r="X27" i="1" s="1"/>
  <c r="Y26" i="1"/>
  <c r="Y21" i="1"/>
  <c r="Z21" i="1"/>
  <c r="Y57" i="1" l="1"/>
  <c r="Z57" i="1"/>
  <c r="Y56" i="1"/>
  <c r="Z56" i="1"/>
  <c r="Y27" i="1"/>
  <c r="Z27"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7" i="1"/>
  <c r="AB46" i="1"/>
  <c r="AB41" i="1"/>
  <c r="AB40" i="1"/>
  <c r="AA40" i="1" s="1"/>
  <c r="AB35" i="1"/>
  <c r="AB34" i="1"/>
  <c r="AA34" i="1" s="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C4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6" i="1"/>
  <c r="AB53" i="1"/>
  <c r="AA53" i="1" s="1"/>
  <c r="AA54" i="1"/>
  <c r="AB55" i="1"/>
  <c r="AB24" i="1"/>
  <c r="V32" i="19"/>
  <c r="P42" i="19"/>
  <c r="J12" i="19"/>
  <c r="J32" i="19"/>
  <c r="AB52" i="19"/>
  <c r="AC34" i="1"/>
  <c r="J22" i="19"/>
  <c r="V22" i="19"/>
  <c r="J52" i="19"/>
  <c r="AH12" i="19"/>
  <c r="J42" i="19"/>
  <c r="AH42" i="19"/>
  <c r="P32" i="19"/>
  <c r="AB12" i="19"/>
  <c r="AH32" i="19"/>
  <c r="AB32" i="19"/>
  <c r="AB42" i="19"/>
  <c r="V42" i="19"/>
  <c r="V12" i="19"/>
  <c r="V52" i="19"/>
  <c r="AB22" i="19"/>
  <c r="AH52" i="19"/>
  <c r="AH22" i="19"/>
  <c r="P22" i="19"/>
  <c r="P12" i="19"/>
  <c r="P52" i="19"/>
  <c r="AB36" i="1"/>
  <c r="AA36" i="1" s="1"/>
  <c r="AB37" i="1"/>
  <c r="AA37" i="1" s="1"/>
  <c r="AA35" i="1"/>
  <c r="AA41" i="1"/>
  <c r="AB42" i="1"/>
  <c r="AA47" i="1"/>
  <c r="AB48" i="1"/>
  <c r="AB1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7" i="1"/>
  <c r="K44" i="19"/>
  <c r="Q34" i="19"/>
  <c r="W34" i="19"/>
  <c r="K14" i="19"/>
  <c r="W54" i="19"/>
  <c r="K34" i="19"/>
  <c r="AC34"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6"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6" i="1"/>
  <c r="AD12" i="19"/>
  <c r="AD32" i="19"/>
  <c r="AD22" i="19"/>
  <c r="X52" i="19"/>
  <c r="AD52" i="19"/>
  <c r="L42" i="19"/>
  <c r="R42" i="19"/>
  <c r="AA18" i="1"/>
  <c r="AB19" i="1"/>
  <c r="AA42" i="1"/>
  <c r="AB43" i="1"/>
  <c r="K42" i="19"/>
  <c r="AC32" i="19"/>
  <c r="W42" i="19"/>
  <c r="AI52" i="19"/>
  <c r="K22" i="19"/>
  <c r="Q32" i="19"/>
  <c r="AI12" i="19"/>
  <c r="AC52" i="19"/>
  <c r="Q42" i="19"/>
  <c r="AC42" i="19"/>
  <c r="K12" i="19"/>
  <c r="Q22" i="19"/>
  <c r="W52" i="19"/>
  <c r="AI42" i="19"/>
  <c r="W32" i="19"/>
  <c r="AI22" i="19"/>
  <c r="W12" i="19"/>
  <c r="AI32" i="19"/>
  <c r="AC12" i="19"/>
  <c r="Q12" i="19"/>
  <c r="Q52" i="19"/>
  <c r="AC35" i="1"/>
  <c r="K32" i="19"/>
  <c r="W22" i="19"/>
  <c r="K52" i="19"/>
  <c r="AC22"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8" i="1"/>
  <c r="AB49" i="1"/>
  <c r="K23" i="19"/>
  <c r="AI43" i="19"/>
  <c r="AC43" i="19"/>
  <c r="AC53" i="19"/>
  <c r="W43" i="19"/>
  <c r="K13" i="19"/>
  <c r="Q53" i="19"/>
  <c r="AI53" i="19"/>
  <c r="K33" i="19"/>
  <c r="K43" i="19"/>
  <c r="AI33" i="19"/>
  <c r="AC33" i="19"/>
  <c r="AC41" i="1"/>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A24" i="1"/>
  <c r="AB25" i="1"/>
  <c r="R40" i="19" l="1"/>
  <c r="AD10" i="19"/>
  <c r="X40" i="19"/>
  <c r="AJ10" i="19"/>
  <c r="R50" i="19"/>
  <c r="X10" i="19"/>
  <c r="R30" i="19"/>
  <c r="AC24" i="1"/>
  <c r="L10" i="19"/>
  <c r="L50" i="19"/>
  <c r="AJ20" i="19"/>
  <c r="AJ40" i="19"/>
  <c r="AD30" i="19"/>
  <c r="R20" i="19"/>
  <c r="AD50" i="19"/>
  <c r="AJ30" i="19"/>
  <c r="AJ50" i="19"/>
  <c r="X30" i="19"/>
  <c r="AD20" i="19"/>
  <c r="L40" i="19"/>
  <c r="X50" i="19"/>
  <c r="X20" i="19"/>
  <c r="AD40" i="19"/>
  <c r="R10" i="19"/>
  <c r="L30" i="19"/>
  <c r="L20" i="19"/>
  <c r="AA43" i="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D29" i="19"/>
  <c r="AD19" i="19"/>
  <c r="R39" i="19"/>
  <c r="R9" i="19"/>
  <c r="X49" i="19"/>
  <c r="X9" i="19"/>
  <c r="AD39" i="19"/>
  <c r="R29" i="19"/>
  <c r="L49" i="19"/>
  <c r="X19" i="19"/>
  <c r="X29" i="19"/>
  <c r="X39" i="19"/>
  <c r="L9" i="19"/>
  <c r="AC18" i="1"/>
  <c r="AD9" i="19"/>
  <c r="AJ49" i="19"/>
  <c r="L39" i="19"/>
  <c r="R19" i="19"/>
  <c r="AJ39" i="19"/>
  <c r="AJ29" i="19"/>
  <c r="AJ19" i="19"/>
  <c r="AJ9" i="19"/>
  <c r="AD49" i="19"/>
  <c r="L19" i="19"/>
  <c r="L29" i="19"/>
  <c r="R49"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10" i="1" l="1"/>
  <c r="L10" i="1" s="1"/>
  <c r="K28" i="1"/>
  <c r="L28" i="1" s="1"/>
  <c r="K16" i="1"/>
  <c r="L16" i="1" s="1"/>
  <c r="K40" i="1"/>
  <c r="L40" i="1" s="1"/>
  <c r="K34" i="1"/>
  <c r="L34" i="1" s="1"/>
  <c r="K22" i="1"/>
  <c r="L22" i="1" s="1"/>
  <c r="K52" i="1"/>
  <c r="L52" i="1" s="1"/>
  <c r="K46" i="1"/>
  <c r="L46" i="1" s="1"/>
  <c r="N10" i="1" l="1"/>
  <c r="M10" i="1"/>
  <c r="AB10" i="1" s="1"/>
  <c r="AA10" i="1" s="1"/>
  <c r="AC10" i="1" s="1"/>
  <c r="Z42" i="18"/>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34" i="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R34" i="18"/>
  <c r="AJ42" i="18"/>
  <c r="AL38" i="18"/>
  <c r="T38" i="18"/>
  <c r="AL14" i="18"/>
  <c r="Z14" i="18"/>
  <c r="AF22" i="18"/>
  <c r="AF6" i="18"/>
  <c r="N38" i="18"/>
  <c r="AL22" i="18"/>
  <c r="Z30" i="18"/>
  <c r="AF30" i="18"/>
  <c r="T30" i="18"/>
  <c r="AL6" i="18"/>
  <c r="Z38" i="18"/>
  <c r="Z6" i="18"/>
  <c r="AF14" i="18"/>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AA16" i="1" s="1"/>
  <c r="AC16" i="1" s="1"/>
  <c r="V40" i="18"/>
  <c r="AH40" i="18"/>
  <c r="J40" i="18"/>
  <c r="AH32" i="18"/>
  <c r="J16" i="18"/>
  <c r="V24" i="18"/>
  <c r="N16" i="1"/>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F32" i="18"/>
  <c r="N16" i="18"/>
  <c r="T40" i="18"/>
  <c r="Z40" i="18"/>
  <c r="AL24" i="18"/>
  <c r="T32" i="18"/>
  <c r="Z32" i="18"/>
  <c r="AA22" i="1" l="1"/>
  <c r="AB23" i="1"/>
  <c r="AA23"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AB17" i="1"/>
  <c r="AA17" i="1" s="1"/>
  <c r="AA28" i="1"/>
  <c r="AB29" i="1"/>
  <c r="AB39" i="19" l="1"/>
  <c r="P19" i="19"/>
  <c r="P39" i="19"/>
  <c r="P29" i="19"/>
  <c r="J39" i="19"/>
  <c r="AH49" i="19"/>
  <c r="V49" i="19"/>
  <c r="AB29" i="19"/>
  <c r="AH39" i="19"/>
  <c r="P9" i="19"/>
  <c r="V19" i="19"/>
  <c r="AB9" i="19"/>
  <c r="AH19" i="19"/>
  <c r="V39" i="19"/>
  <c r="AH29" i="19"/>
  <c r="V9" i="19"/>
  <c r="AB19" i="19"/>
  <c r="AH9" i="19"/>
  <c r="J9" i="19"/>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AC23" i="1"/>
  <c r="Q20" i="19"/>
  <c r="AI50" i="19"/>
  <c r="AI20" i="19"/>
  <c r="K10" i="19"/>
  <c r="K30" i="19"/>
  <c r="J40" i="19"/>
  <c r="J10" i="19"/>
  <c r="V30" i="19"/>
  <c r="AB20" i="19"/>
  <c r="AH20" i="19"/>
  <c r="AH50" i="19"/>
  <c r="J30" i="19"/>
  <c r="AC22" i="1"/>
  <c r="V20" i="19"/>
  <c r="V10" i="19"/>
  <c r="AH10" i="19"/>
  <c r="P20" i="19"/>
  <c r="P10" i="19"/>
  <c r="J20" i="19"/>
  <c r="AB50" i="19"/>
  <c r="P40" i="19"/>
  <c r="J50" i="19"/>
  <c r="V40" i="19"/>
  <c r="AB40" i="19"/>
  <c r="AB30" i="19"/>
  <c r="AB10" i="19"/>
  <c r="P30" i="19"/>
  <c r="V50" i="19"/>
  <c r="P50" i="19"/>
  <c r="AH40" i="19"/>
  <c r="AH30" i="19"/>
  <c r="L8" i="19"/>
  <c r="AD18" i="19"/>
  <c r="AD38" i="19"/>
  <c r="AJ38" i="19"/>
  <c r="AD48" i="19"/>
  <c r="L48" i="19"/>
  <c r="AJ28" i="19"/>
  <c r="AJ8" i="19"/>
  <c r="AD8" i="19"/>
  <c r="AJ48" i="19"/>
  <c r="X38" i="19"/>
  <c r="R18" i="19"/>
  <c r="AJ18" i="19"/>
  <c r="L38" i="19"/>
  <c r="R38" i="19"/>
  <c r="X8" i="19"/>
  <c r="AD28" i="19"/>
  <c r="L28" i="19"/>
  <c r="X18" i="19"/>
  <c r="R48" i="19"/>
  <c r="X48" i="19"/>
  <c r="R28" i="19"/>
  <c r="L18" i="19"/>
  <c r="X28" i="19"/>
  <c r="R8" i="19"/>
  <c r="AC28" i="1"/>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K38" i="19"/>
  <c r="AC28" i="19"/>
  <c r="AC8" i="19"/>
  <c r="AI18" i="19"/>
  <c r="Q48" i="19"/>
  <c r="K18" i="19"/>
  <c r="AC18" i="19"/>
  <c r="AI8" i="19"/>
  <c r="K48" i="19"/>
  <c r="AC38" i="19"/>
  <c r="AC48" i="19"/>
  <c r="AI48" i="19"/>
  <c r="W38" i="19"/>
  <c r="Q38" i="19"/>
  <c r="AA29" i="1"/>
  <c r="AB30" i="1"/>
  <c r="AI9" i="19"/>
  <c r="AI29" i="19"/>
  <c r="W9" i="19"/>
  <c r="Q29" i="19"/>
  <c r="K49" i="19"/>
  <c r="Q19" i="19"/>
  <c r="W39" i="19"/>
  <c r="AI49" i="19"/>
  <c r="Q39" i="19"/>
  <c r="W29" i="19"/>
  <c r="AC9" i="19"/>
  <c r="AC17" i="1"/>
  <c r="AC29" i="19"/>
  <c r="Q49" i="19"/>
  <c r="W49" i="19"/>
  <c r="K9" i="19"/>
  <c r="AC39" i="19"/>
  <c r="W19" i="19"/>
  <c r="K39" i="19"/>
  <c r="AI39" i="19"/>
  <c r="AC49" i="19"/>
  <c r="K29" i="19"/>
  <c r="AI19" i="19"/>
  <c r="Q9" i="19"/>
  <c r="AC19" i="19"/>
  <c r="K19" i="19"/>
  <c r="AH38" i="19"/>
  <c r="J18" i="19"/>
  <c r="J48" i="19"/>
  <c r="V8" i="19"/>
  <c r="J38" i="19"/>
  <c r="P28" i="19"/>
  <c r="P8" i="19"/>
  <c r="AH28" i="19"/>
  <c r="AB28" i="19"/>
  <c r="AB48" i="19"/>
  <c r="V38" i="19"/>
  <c r="P48" i="19"/>
  <c r="AH48" i="19"/>
  <c r="AB8" i="19"/>
  <c r="V48" i="19"/>
  <c r="V28" i="19"/>
  <c r="AB38" i="19"/>
  <c r="AB18" i="19"/>
  <c r="AH8" i="19"/>
  <c r="AH18" i="19"/>
  <c r="V18" i="19"/>
  <c r="P18" i="19"/>
  <c r="P38" i="19"/>
  <c r="J8" i="19"/>
  <c r="J28" i="19"/>
  <c r="AI41" i="19" l="1"/>
  <c r="K51" i="19"/>
  <c r="W11" i="19"/>
  <c r="K21" i="19"/>
  <c r="Q51" i="19"/>
  <c r="AI31" i="19"/>
  <c r="W21" i="19"/>
  <c r="Q41" i="19"/>
  <c r="AC11" i="19"/>
  <c r="K11" i="19"/>
  <c r="AI51" i="19"/>
  <c r="AC31" i="19"/>
  <c r="W41" i="19"/>
  <c r="AC51" i="19"/>
  <c r="K41" i="19"/>
  <c r="W31" i="19"/>
  <c r="AI11" i="19"/>
  <c r="Q11" i="19"/>
  <c r="AC41" i="19"/>
  <c r="AC29" i="1"/>
  <c r="AI21" i="19"/>
  <c r="AC21" i="19"/>
  <c r="Q31" i="19"/>
  <c r="K31" i="19"/>
  <c r="W51" i="19"/>
  <c r="Q21" i="19"/>
  <c r="AA30" i="1"/>
  <c r="AB31" i="1"/>
  <c r="AA31" i="1" l="1"/>
  <c r="AB32" i="1"/>
  <c r="AA32" i="1" s="1"/>
  <c r="AD11" i="19"/>
  <c r="AD21" i="19"/>
  <c r="L21" i="19"/>
  <c r="L51" i="19"/>
  <c r="L11" i="19"/>
  <c r="X51" i="19"/>
  <c r="X21" i="19"/>
  <c r="R11" i="19"/>
  <c r="AJ21" i="19"/>
  <c r="AD51" i="19"/>
  <c r="L41" i="19"/>
  <c r="R31" i="19"/>
  <c r="AJ41" i="19"/>
  <c r="L31" i="19"/>
  <c r="R41" i="19"/>
  <c r="AD31" i="19"/>
  <c r="R51" i="19"/>
  <c r="AC30" i="1"/>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<sst xmlns="http://schemas.openxmlformats.org/spreadsheetml/2006/main" count="350" uniqueCount="232">
  <si>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</si>
  <si>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</si>
  <si>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</si>
  <si>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</si>
  <si>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</si>
  <si>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</si>
  <si>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</si>
  <si>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</si>
  <si>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</si>
  <si>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</si>
  <si>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</si>
  <si>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</si>
  <si>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</si>
  <si>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</si>
  <si>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</si>
  <si>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</si>
  <si>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</si>
  <si>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</si>
  <si>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</si>
  <si>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</si>
  <si>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</si>
  <si>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</si>
  <si>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</si>
  <si>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</si>
  <si>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</si>
  <si>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</si>
  <si>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</si>
  <si>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</si>
  <si>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</si>
  <si>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</si>
  <si>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</si>
  <si>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</si>
  <si>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</si>
  <si>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</si>
  <si>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</si>
  <si>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</si>
  <si>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</si>
  <si>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</si>
  <si>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</si>
  <si>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</si>
  <si>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</si>
  <si>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</si>
  <si>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</si>
  <si>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</si>
  <si>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</si>
  <si>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</si>
  <si>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</si>
  <si>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</si>
  <si>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</si>
  <si>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</si>
  <si>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</si>
  <si>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</si>
  <si>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</si>
  <si>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</si>
  <si>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</si>
  <si>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</si>
  <si>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</si>
  <si>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</si>
  <si>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</si>
  <si>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</si>
  <si>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</si>
  <si>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</si>
  <si>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</si>
  <si>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</si>
  <si>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</si>
  <si>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</si>
  <si>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</si>
  <si>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</si>
  <si>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</si>
  <si>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</si>
  <si>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</si>
  <si>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</si>
  <si>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</si>
  <si>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</si>
  <si>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</si>
  <si>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</si>
  <si>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</si>
  <si>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</si>
  <si>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</si>
  <si>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</si>
  <si>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</si>
  <si>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</si>
  <si>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</si>
  <si>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</si>
  <si>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</si>
  <si>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</si>
  <si>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</si>
  <si>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</si>
  <si>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</si>
  <si>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</si>
  <si>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</si>
  <si>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</si>
  <si>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</si>
  <si>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</si>
  <si>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</si>
  <si>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</si>
  <si>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</si>
  <si>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</si>
  <si>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</si>
  <si>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</si>
  <si>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</si>
  <si>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</si>
  <si>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</si>
  <si>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</si>
  <si>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</si>
  <si>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</si>
  <si>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</si>
  <si>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</si>
  <si>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</si>
  <si>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</si>
  <si>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</si>
  <si>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</si>
  <si>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</si>
  <si>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</si>
  <si>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</si>
  <si>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</si>
  <si>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</si>
  <si>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</si>
  <si>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</si>
  <si>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</si>
  <si>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</si>
  <si>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</si>
  <si>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</si>
  <si>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</si>
  <si>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</si>
  <si>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</si>
  <si>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</si>
  <si>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</si>
  <si>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</si>
  <si>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</si>
  <si>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</si>
  <si>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</si>
  <si>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</si>
  <si>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</si>
  <si>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</si>
  <si>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</si>
  <si>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</si>
  <si>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</si>
  <si>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</si>
  <si>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</si>
  <si>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</si>
  <si>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</si>
  <si>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</si>
  <si>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</si>
  <si>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</si>
  <si>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</si>
  <si>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</si>
  <si>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</si>
  <si>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</si>
  <si>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</si>
  <si>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</si>
  <si>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</si>
  <si>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</si>
  <si>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</si>
  <si>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</si>
  <si>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</si>
  <si>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</si>
  <si>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</si>
  <si>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</si>
  <si>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</si>
  <si>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</si>
  <si>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</si>
  <si>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</si>
  <si>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</si>
  <si>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</si>
  <si>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</si>
  <si>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</si>
  <si>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</si>
  <si>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</si>
  <si>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</si>
  <si>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</si>
  <si>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</si>
  <si>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</si>
  <si>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</si>
  <si>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</si>
  <si>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</si>
  <si>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</si>
  <si>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</si>
  <si>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</si>
  <si>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</si>
  <si>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</si>
  <si>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</si>
  <si>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</si>
  <si>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</si>
  <si>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</si>
  <si>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</si>
  <si>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</si>
  <si>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</si>
  <si>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</si>
  <si>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</si>
  <si>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</si>
  <si>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</si>
  <si>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</si>
  <si>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</si>
  <si>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</si>
  <si>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</si>
  <si>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</si>
  <si>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</si>
  <si>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</si>
  <si>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</si>
  <si>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</si>
  <si>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</si>
  <si>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</si>
  <si>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</si>
  <si>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</si>
  <si>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</si>
  <si>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</si>
  <si>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</si>
  <si>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</si>
  <si>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</si>
  <si>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</si>
  <si>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</si>
  <si>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</si>
  <si>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</si>
  <si>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</si>
  <si>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 xml:space="preserve">Manejar de manera óptima los medios y canales disponibles en la entidad, procurando mejorar los niveles de información, transparencia, el sentido de pertenencia y la consolidación de la imagen institucional, tanto al interior como al exterior de la entidad. </t>
  </si>
  <si>
    <t>Comunicaciones</t>
  </si>
  <si>
    <t xml:space="preserve">Desde la recepción de la información a difundir, hasta su difusión por los medios establecidos </t>
  </si>
  <si>
    <t>Posibilidad de afectación reputacional  por la inoportunidad en el suministro de información noticiosa para su publicación y divulgación, debido al envío tardìo de información por parte de las áreas  a comunicaciones</t>
  </si>
  <si>
    <t>Envío tardìo de información por parte de las áreas  a comunicaciones</t>
  </si>
  <si>
    <t xml:space="preserve"> Inoportunidad en el suministro de información noticiosa</t>
  </si>
  <si>
    <t xml:space="preserve">El profesional universitario de comunicaciones realiza reunión quincenal  con los líderes de proceso para identificar la información susceptible de publicar </t>
  </si>
  <si>
    <t>Posibilidad de afectación reputacional  por pérdida de la percepción ciudadana, causada por el filtro de información noticiosa del Instituto de Cultura y Turismo de Manizales antes de ser publicado por los medios oficiales</t>
  </si>
  <si>
    <t>Pérdida de la percepción ciudadana</t>
  </si>
  <si>
    <t>Filtro de información noticiosa del Instituto de Cultura y Turismo de Manizales antes de ser publicado por los medios oficiales</t>
  </si>
  <si>
    <t xml:space="preserve">Enviar solicitud a la Secretaría General para que se incluya una cláusula de confidencialidad en los contratos </t>
  </si>
  <si>
    <t xml:space="preserve">Profesional Universitario Comunicaciones </t>
  </si>
  <si>
    <t xml:space="preserve">Posibilidad de afectación reputacional por reclamaciones de la Administración Central Municipal cuasadas por el uso indebido de la imagen del ICTM </t>
  </si>
  <si>
    <t>Reclamaciones de la Administración Central Municipal</t>
  </si>
  <si>
    <t xml:space="preserve">Uso indebido de la imagen del ICTM </t>
  </si>
  <si>
    <t xml:space="preserve">El profesional universitario de comunicaciones realiza socialización con todos los funcionarios de la política de comunicaciones y el manual de imagen para su correcta aplicación </t>
  </si>
  <si>
    <t>31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</si>
</sst>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8" xfId="0" applyFont="1" applyBorder="1" applyAlignment="1">
      <alignment horizontal="center" vertical="center" wrapText="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3" xfId="0" applyFont="1" applyBorder="1" applyAlignment="1">
      <alignment horizontal="center" vertical="center" wrapText="1"/>
    </xf>
    <xf numFmtId="0" fontId="44" fillId="0" borderId="0" xfId="0" applyFont="1" applyAlignment="1">
      <alignment horizontal="center" vertical="center"/>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4" fillId="0" borderId="18"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1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59" t="s">
        <v>164</v>
      </c>
      <c r="C2" s="160"/>
      <c r="D2" s="160"/>
      <c r="E2" s="160"/>
      <c r="F2" s="160"/>
      <c r="G2" s="160"/>
      <c r="H2" s="161"/>
    </row>
    <row r="3" spans="2:8" x14ac:dyDescent="0.25">
      <c r="B3" s="75"/>
      <c r="C3" s="76"/>
      <c r="D3" s="76"/>
      <c r="E3" s="76"/>
      <c r="F3" s="76"/>
      <c r="G3" s="76"/>
      <c r="H3" s="77"/>
    </row>
    <row r="4" spans="2:8" ht="63" customHeight="1" x14ac:dyDescent="0.25">
      <c r="B4" s="162" t="s">
        <v>207</v>
      </c>
      <c r="C4" s="163"/>
      <c r="D4" s="163"/>
      <c r="E4" s="163"/>
      <c r="F4" s="163"/>
      <c r="G4" s="163"/>
      <c r="H4" s="164"/>
    </row>
    <row r="5" spans="2:8" ht="63" customHeight="1" x14ac:dyDescent="0.25">
      <c r="B5" s="165"/>
      <c r="C5" s="166"/>
      <c r="D5" s="166"/>
      <c r="E5" s="166"/>
      <c r="F5" s="166"/>
      <c r="G5" s="166"/>
      <c r="H5" s="167"/>
    </row>
    <row r="6" spans="2:8" ht="16.5" x14ac:dyDescent="0.25">
      <c r="B6" s="168" t="s">
        <v>162</v>
      </c>
      <c r="C6" s="169"/>
      <c r="D6" s="169"/>
      <c r="E6" s="169"/>
      <c r="F6" s="169"/>
      <c r="G6" s="169"/>
      <c r="H6" s="170"/>
    </row>
    <row r="7" spans="2:8" ht="95.25" customHeight="1" x14ac:dyDescent="0.25">
      <c r="B7" s="178" t="s">
        <v>167</v>
      </c>
      <c r="C7" s="179"/>
      <c r="D7" s="179"/>
      <c r="E7" s="179"/>
      <c r="F7" s="179"/>
      <c r="G7" s="179"/>
      <c r="H7" s="180"/>
    </row>
    <row r="8" spans="2:8" ht="16.5" x14ac:dyDescent="0.25">
      <c r="B8" s="111"/>
      <c r="C8" s="112"/>
      <c r="D8" s="112"/>
      <c r="E8" s="112"/>
      <c r="F8" s="112"/>
      <c r="G8" s="112"/>
      <c r="H8" s="113"/>
    </row>
    <row r="9" spans="2:8" ht="16.5" customHeight="1" x14ac:dyDescent="0.25">
      <c r="B9" s="171" t="s">
        <v>200</v>
      </c>
      <c r="C9" s="172"/>
      <c r="D9" s="172"/>
      <c r="E9" s="172"/>
      <c r="F9" s="172"/>
      <c r="G9" s="172"/>
      <c r="H9" s="173"/>
    </row>
    <row r="10" spans="2:8" ht="44.25" customHeight="1" x14ac:dyDescent="0.25">
      <c r="B10" s="171"/>
      <c r="C10" s="172"/>
      <c r="D10" s="172"/>
      <c r="E10" s="172"/>
      <c r="F10" s="172"/>
      <c r="G10" s="172"/>
      <c r="H10" s="173"/>
    </row>
    <row r="11" spans="2:8" ht="15.75" thickBot="1" x14ac:dyDescent="0.3">
      <c r="B11" s="100"/>
      <c r="C11" s="103"/>
      <c r="D11" s="108"/>
      <c r="E11" s="109"/>
      <c r="F11" s="109"/>
      <c r="G11" s="110"/>
      <c r="H11" s="104"/>
    </row>
    <row r="12" spans="2:8" ht="15.75" thickTop="1" x14ac:dyDescent="0.25">
      <c r="B12" s="100"/>
      <c r="C12" s="174" t="s">
        <v>163</v>
      </c>
      <c r="D12" s="175"/>
      <c r="E12" s="176" t="s">
        <v>201</v>
      </c>
      <c r="F12" s="177"/>
      <c r="G12" s="103"/>
      <c r="H12" s="104"/>
    </row>
    <row r="13" spans="2:8" ht="35.25" customHeight="1" x14ac:dyDescent="0.25">
      <c r="B13" s="100"/>
      <c r="C13" s="146" t="s">
        <v>194</v>
      </c>
      <c r="D13" s="147"/>
      <c r="E13" s="148" t="s">
        <v>199</v>
      </c>
      <c r="F13" s="149"/>
      <c r="G13" s="103"/>
      <c r="H13" s="104"/>
    </row>
    <row r="14" spans="2:8" ht="17.25" customHeight="1" x14ac:dyDescent="0.25">
      <c r="B14" s="100"/>
      <c r="C14" s="146" t="s">
        <v>195</v>
      </c>
      <c r="D14" s="147"/>
      <c r="E14" s="148" t="s">
        <v>197</v>
      </c>
      <c r="F14" s="149"/>
      <c r="G14" s="103"/>
      <c r="H14" s="104"/>
    </row>
    <row r="15" spans="2:8" ht="19.5" customHeight="1" x14ac:dyDescent="0.25">
      <c r="B15" s="100"/>
      <c r="C15" s="146" t="s">
        <v>196</v>
      </c>
      <c r="D15" s="147"/>
      <c r="E15" s="148" t="s">
        <v>198</v>
      </c>
      <c r="F15" s="149"/>
      <c r="G15" s="103"/>
      <c r="H15" s="104"/>
    </row>
    <row r="16" spans="2:8" ht="69.75" customHeight="1" x14ac:dyDescent="0.25">
      <c r="B16" s="100"/>
      <c r="C16" s="146" t="s">
        <v>165</v>
      </c>
      <c r="D16" s="147"/>
      <c r="E16" s="148" t="s">
        <v>166</v>
      </c>
      <c r="F16" s="149"/>
      <c r="G16" s="103"/>
      <c r="H16" s="104"/>
    </row>
    <row r="17" spans="2:8" ht="34.5" customHeight="1" x14ac:dyDescent="0.25">
      <c r="B17" s="100"/>
      <c r="C17" s="150" t="s">
        <v>2</v>
      </c>
      <c r="D17" s="151"/>
      <c r="E17" s="142" t="s">
        <v>208</v>
      </c>
      <c r="F17" s="143"/>
      <c r="G17" s="103"/>
      <c r="H17" s="104"/>
    </row>
    <row r="18" spans="2:8" ht="27.75" customHeight="1" x14ac:dyDescent="0.25">
      <c r="B18" s="100"/>
      <c r="C18" s="150" t="s">
        <v>3</v>
      </c>
      <c r="D18" s="151"/>
      <c r="E18" s="142" t="s">
        <v>209</v>
      </c>
      <c r="F18" s="143"/>
      <c r="G18" s="103"/>
      <c r="H18" s="104"/>
    </row>
    <row r="19" spans="2:8" ht="28.5" customHeight="1" x14ac:dyDescent="0.25">
      <c r="B19" s="100"/>
      <c r="C19" s="150" t="s">
        <v>42</v>
      </c>
      <c r="D19" s="151"/>
      <c r="E19" s="142" t="s">
        <v>210</v>
      </c>
      <c r="F19" s="143"/>
      <c r="G19" s="103"/>
      <c r="H19" s="104"/>
    </row>
    <row r="20" spans="2:8" ht="72.75" customHeight="1" x14ac:dyDescent="0.25">
      <c r="B20" s="100"/>
      <c r="C20" s="150" t="s">
        <v>1</v>
      </c>
      <c r="D20" s="151"/>
      <c r="E20" s="142" t="s">
        <v>211</v>
      </c>
      <c r="F20" s="143"/>
      <c r="G20" s="103"/>
      <c r="H20" s="104"/>
    </row>
    <row r="21" spans="2:8" ht="64.5" customHeight="1" x14ac:dyDescent="0.25">
      <c r="B21" s="100"/>
      <c r="C21" s="150" t="s">
        <v>50</v>
      </c>
      <c r="D21" s="151"/>
      <c r="E21" s="142" t="s">
        <v>169</v>
      </c>
      <c r="F21" s="143"/>
      <c r="G21" s="103"/>
      <c r="H21" s="104"/>
    </row>
    <row r="22" spans="2:8" ht="71.25" customHeight="1" x14ac:dyDescent="0.25">
      <c r="B22" s="100"/>
      <c r="C22" s="150" t="s">
        <v>168</v>
      </c>
      <c r="D22" s="151"/>
      <c r="E22" s="142" t="s">
        <v>170</v>
      </c>
      <c r="F22" s="143"/>
      <c r="G22" s="103"/>
      <c r="H22" s="104"/>
    </row>
    <row r="23" spans="2:8" ht="55.5" customHeight="1" x14ac:dyDescent="0.25">
      <c r="B23" s="100"/>
      <c r="C23" s="144" t="s">
        <v>171</v>
      </c>
      <c r="D23" s="145"/>
      <c r="E23" s="142" t="s">
        <v>172</v>
      </c>
      <c r="F23" s="143"/>
      <c r="G23" s="103"/>
      <c r="H23" s="104"/>
    </row>
    <row r="24" spans="2:8" ht="42" customHeight="1" x14ac:dyDescent="0.25">
      <c r="B24" s="100"/>
      <c r="C24" s="144" t="s">
        <v>48</v>
      </c>
      <c r="D24" s="145"/>
      <c r="E24" s="142" t="s">
        <v>173</v>
      </c>
      <c r="F24" s="143"/>
      <c r="G24" s="103"/>
      <c r="H24" s="104"/>
    </row>
    <row r="25" spans="2:8" ht="59.25" customHeight="1" x14ac:dyDescent="0.25">
      <c r="B25" s="100"/>
      <c r="C25" s="144" t="s">
        <v>161</v>
      </c>
      <c r="D25" s="145"/>
      <c r="E25" s="142" t="s">
        <v>174</v>
      </c>
      <c r="F25" s="143"/>
      <c r="G25" s="103"/>
      <c r="H25" s="104"/>
    </row>
    <row r="26" spans="2:8" ht="23.25" customHeight="1" x14ac:dyDescent="0.25">
      <c r="B26" s="100"/>
      <c r="C26" s="144" t="s">
        <v>12</v>
      </c>
      <c r="D26" s="145"/>
      <c r="E26" s="142" t="s">
        <v>175</v>
      </c>
      <c r="F26" s="143"/>
      <c r="G26" s="103"/>
      <c r="H26" s="104"/>
    </row>
    <row r="27" spans="2:8" ht="30.75" customHeight="1" x14ac:dyDescent="0.25">
      <c r="B27" s="100"/>
      <c r="C27" s="144" t="s">
        <v>179</v>
      </c>
      <c r="D27" s="145"/>
      <c r="E27" s="142" t="s">
        <v>176</v>
      </c>
      <c r="F27" s="143"/>
      <c r="G27" s="103"/>
      <c r="H27" s="104"/>
    </row>
    <row r="28" spans="2:8" ht="35.25" customHeight="1" x14ac:dyDescent="0.25">
      <c r="B28" s="100"/>
      <c r="C28" s="144" t="s">
        <v>180</v>
      </c>
      <c r="D28" s="145"/>
      <c r="E28" s="142" t="s">
        <v>177</v>
      </c>
      <c r="F28" s="143"/>
      <c r="G28" s="103"/>
      <c r="H28" s="104"/>
    </row>
    <row r="29" spans="2:8" ht="33" customHeight="1" x14ac:dyDescent="0.25">
      <c r="B29" s="100"/>
      <c r="C29" s="144" t="s">
        <v>180</v>
      </c>
      <c r="D29" s="145"/>
      <c r="E29" s="142" t="s">
        <v>177</v>
      </c>
      <c r="F29" s="143"/>
      <c r="G29" s="103"/>
      <c r="H29" s="104"/>
    </row>
    <row r="30" spans="2:8" ht="30" customHeight="1" x14ac:dyDescent="0.25">
      <c r="B30" s="100"/>
      <c r="C30" s="144" t="s">
        <v>181</v>
      </c>
      <c r="D30" s="145"/>
      <c r="E30" s="142" t="s">
        <v>178</v>
      </c>
      <c r="F30" s="143"/>
      <c r="G30" s="103"/>
      <c r="H30" s="104"/>
    </row>
    <row r="31" spans="2:8" ht="35.25" customHeight="1" x14ac:dyDescent="0.25">
      <c r="B31" s="100"/>
      <c r="C31" s="144" t="s">
        <v>182</v>
      </c>
      <c r="D31" s="145"/>
      <c r="E31" s="142" t="s">
        <v>183</v>
      </c>
      <c r="F31" s="143"/>
      <c r="G31" s="103"/>
      <c r="H31" s="104"/>
    </row>
    <row r="32" spans="2:8" ht="31.5" customHeight="1" x14ac:dyDescent="0.25">
      <c r="B32" s="100"/>
      <c r="C32" s="144" t="s">
        <v>184</v>
      </c>
      <c r="D32" s="145"/>
      <c r="E32" s="142" t="s">
        <v>185</v>
      </c>
      <c r="F32" s="143"/>
      <c r="G32" s="103"/>
      <c r="H32" s="104"/>
    </row>
    <row r="33" spans="2:8" ht="35.25" customHeight="1" x14ac:dyDescent="0.25">
      <c r="B33" s="100"/>
      <c r="C33" s="144" t="s">
        <v>186</v>
      </c>
      <c r="D33" s="145"/>
      <c r="E33" s="142" t="s">
        <v>187</v>
      </c>
      <c r="F33" s="143"/>
      <c r="G33" s="103"/>
      <c r="H33" s="104"/>
    </row>
    <row r="34" spans="2:8" ht="59.25" customHeight="1" x14ac:dyDescent="0.25">
      <c r="B34" s="100"/>
      <c r="C34" s="144" t="s">
        <v>188</v>
      </c>
      <c r="D34" s="145"/>
      <c r="E34" s="142" t="s">
        <v>189</v>
      </c>
      <c r="F34" s="143"/>
      <c r="G34" s="103"/>
      <c r="H34" s="104"/>
    </row>
    <row r="35" spans="2:8" ht="29.25" customHeight="1" x14ac:dyDescent="0.25">
      <c r="B35" s="100"/>
      <c r="C35" s="144" t="s">
        <v>29</v>
      </c>
      <c r="D35" s="145"/>
      <c r="E35" s="142" t="s">
        <v>190</v>
      </c>
      <c r="F35" s="143"/>
      <c r="G35" s="103"/>
      <c r="H35" s="104"/>
    </row>
    <row r="36" spans="2:8" ht="82.5" customHeight="1" x14ac:dyDescent="0.25">
      <c r="B36" s="100"/>
      <c r="C36" s="144" t="s">
        <v>192</v>
      </c>
      <c r="D36" s="145"/>
      <c r="E36" s="142" t="s">
        <v>191</v>
      </c>
      <c r="F36" s="143"/>
      <c r="G36" s="103"/>
      <c r="H36" s="104"/>
    </row>
    <row r="37" spans="2:8" ht="46.5" customHeight="1" x14ac:dyDescent="0.25">
      <c r="B37" s="100"/>
      <c r="C37" s="144" t="s">
        <v>39</v>
      </c>
      <c r="D37" s="145"/>
      <c r="E37" s="142" t="s">
        <v>193</v>
      </c>
      <c r="F37" s="143"/>
      <c r="G37" s="103"/>
      <c r="H37" s="104"/>
    </row>
    <row r="38" spans="2:8" ht="6.75" customHeight="1" thickBot="1" x14ac:dyDescent="0.3">
      <c r="B38" s="100"/>
      <c r="C38" s="155"/>
      <c r="D38" s="156"/>
      <c r="E38" s="157"/>
      <c r="F38" s="158"/>
      <c r="G38" s="103"/>
      <c r="H38" s="104"/>
    </row>
    <row r="39" spans="2:8" ht="15.75" thickTop="1" x14ac:dyDescent="0.25">
      <c r="B39" s="100"/>
      <c r="C39" s="101"/>
      <c r="D39" s="101"/>
      <c r="E39" s="102"/>
      <c r="F39" s="102"/>
      <c r="G39" s="103"/>
      <c r="H39" s="104"/>
    </row>
    <row r="40" spans="2:8" ht="21" customHeight="1" x14ac:dyDescent="0.25">
      <c r="B40" s="152" t="s">
        <v>202</v>
      </c>
      <c r="C40" s="153"/>
      <c r="D40" s="153"/>
      <c r="E40" s="153"/>
      <c r="F40" s="153"/>
      <c r="G40" s="153"/>
      <c r="H40" s="154"/>
    </row>
    <row r="41" spans="2:8" ht="20.25" customHeight="1" x14ac:dyDescent="0.25">
      <c r="B41" s="152" t="s">
        <v>203</v>
      </c>
      <c r="C41" s="153"/>
      <c r="D41" s="153"/>
      <c r="E41" s="153"/>
      <c r="F41" s="153"/>
      <c r="G41" s="153"/>
      <c r="H41" s="154"/>
    </row>
    <row r="42" spans="2:8" ht="20.25" customHeight="1" x14ac:dyDescent="0.25">
      <c r="B42" s="152" t="s">
        <v>204</v>
      </c>
      <c r="C42" s="153"/>
      <c r="D42" s="153"/>
      <c r="E42" s="153"/>
      <c r="F42" s="153"/>
      <c r="G42" s="153"/>
      <c r="H42" s="154"/>
    </row>
    <row r="43" spans="2:8" ht="20.25" customHeight="1" x14ac:dyDescent="0.25">
      <c r="B43" s="152" t="s">
        <v>205</v>
      </c>
      <c r="C43" s="153"/>
      <c r="D43" s="153"/>
      <c r="E43" s="153"/>
      <c r="F43" s="153"/>
      <c r="G43" s="153"/>
      <c r="H43" s="154"/>
    </row>
    <row r="44" spans="2:8" x14ac:dyDescent="0.25">
      <c r="B44" s="152" t="s">
        <v>206</v>
      </c>
      <c r="C44" s="153"/>
      <c r="D44" s="153"/>
      <c r="E44" s="153"/>
      <c r="F44" s="153"/>
      <c r="G44" s="153"/>
      <c r="H44" s="154"/>
    </row>
    <row r="45" spans="2:8" ht="15.75" thickBot="1" x14ac:dyDescent="0.3">
      <c r="B45" s="105"/>
      <c r="C45" s="106"/>
      <c r="D45" s="106"/>
      <c r="E45" s="106"/>
      <c r="F45" s="106"/>
      <c r="G45" s="106"/>
      <c r="H45" s="10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topLeftCell="A16" zoomScale="70" zoomScaleNormal="70" workbookViewId="0">
      <selection activeCell="E22" sqref="E22:E27"/>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1" t="s">
        <v>142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232" t="s">
        <v>43</v>
      </c>
      <c r="B4" s="233"/>
      <c r="C4" s="224" t="s">
        <v>216</v>
      </c>
      <c r="D4" s="225"/>
      <c r="E4" s="225"/>
      <c r="F4" s="225"/>
      <c r="G4" s="225"/>
      <c r="H4" s="225"/>
      <c r="I4" s="225"/>
      <c r="J4" s="225"/>
      <c r="K4" s="225"/>
      <c r="L4" s="225"/>
      <c r="M4" s="225"/>
      <c r="N4" s="226"/>
      <c r="O4" s="227"/>
      <c r="P4" s="227"/>
      <c r="Q4" s="22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69.75" customHeight="1" x14ac:dyDescent="0.3">
      <c r="A5" s="232" t="s">
        <v>128</v>
      </c>
      <c r="B5" s="233"/>
      <c r="C5" s="224" t="s">
        <v>215</v>
      </c>
      <c r="D5" s="225"/>
      <c r="E5" s="225"/>
      <c r="F5" s="225"/>
      <c r="G5" s="225"/>
      <c r="H5" s="225"/>
      <c r="I5" s="225"/>
      <c r="J5" s="225"/>
      <c r="K5" s="225"/>
      <c r="L5" s="225"/>
      <c r="M5" s="225"/>
      <c r="N5" s="22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232" t="s">
        <v>44</v>
      </c>
      <c r="B6" s="233"/>
      <c r="C6" s="224" t="s">
        <v>217</v>
      </c>
      <c r="D6" s="225"/>
      <c r="E6" s="225"/>
      <c r="F6" s="225"/>
      <c r="G6" s="225"/>
      <c r="H6" s="225"/>
      <c r="I6" s="225"/>
      <c r="J6" s="225"/>
      <c r="K6" s="225"/>
      <c r="L6" s="225"/>
      <c r="M6" s="225"/>
      <c r="N6" s="226"/>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187" t="s">
        <v>137</v>
      </c>
      <c r="B7" s="188"/>
      <c r="C7" s="188"/>
      <c r="D7" s="188"/>
      <c r="E7" s="188"/>
      <c r="F7" s="188"/>
      <c r="G7" s="189"/>
      <c r="H7" s="187" t="s">
        <v>138</v>
      </c>
      <c r="I7" s="188"/>
      <c r="J7" s="188"/>
      <c r="K7" s="188"/>
      <c r="L7" s="188"/>
      <c r="M7" s="188"/>
      <c r="N7" s="189"/>
      <c r="O7" s="187" t="s">
        <v>139</v>
      </c>
      <c r="P7" s="188"/>
      <c r="Q7" s="188"/>
      <c r="R7" s="188"/>
      <c r="S7" s="188"/>
      <c r="T7" s="188"/>
      <c r="U7" s="188"/>
      <c r="V7" s="188"/>
      <c r="W7" s="189"/>
      <c r="X7" s="187" t="s">
        <v>140</v>
      </c>
      <c r="Y7" s="188"/>
      <c r="Z7" s="188"/>
      <c r="AA7" s="188"/>
      <c r="AB7" s="188"/>
      <c r="AC7" s="188"/>
      <c r="AD7" s="189"/>
      <c r="AE7" s="187" t="s">
        <v>34</v>
      </c>
      <c r="AF7" s="188"/>
      <c r="AG7" s="188"/>
      <c r="AH7" s="188"/>
      <c r="AI7" s="188"/>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34" t="s">
        <v>0</v>
      </c>
      <c r="B8" s="230" t="s">
        <v>2</v>
      </c>
      <c r="C8" s="228" t="s">
        <v>3</v>
      </c>
      <c r="D8" s="228" t="s">
        <v>42</v>
      </c>
      <c r="E8" s="236" t="s">
        <v>1</v>
      </c>
      <c r="F8" s="231" t="s">
        <v>50</v>
      </c>
      <c r="G8" s="228" t="s">
        <v>133</v>
      </c>
      <c r="H8" s="229" t="s">
        <v>33</v>
      </c>
      <c r="I8" s="220" t="s">
        <v>5</v>
      </c>
      <c r="J8" s="231" t="s">
        <v>87</v>
      </c>
      <c r="K8" s="231" t="s">
        <v>92</v>
      </c>
      <c r="L8" s="218" t="s">
        <v>45</v>
      </c>
      <c r="M8" s="220" t="s">
        <v>5</v>
      </c>
      <c r="N8" s="228" t="s">
        <v>48</v>
      </c>
      <c r="O8" s="221" t="s">
        <v>11</v>
      </c>
      <c r="P8" s="217" t="s">
        <v>161</v>
      </c>
      <c r="Q8" s="231" t="s">
        <v>12</v>
      </c>
      <c r="R8" s="217" t="s">
        <v>8</v>
      </c>
      <c r="S8" s="217"/>
      <c r="T8" s="217"/>
      <c r="U8" s="217"/>
      <c r="V8" s="217"/>
      <c r="W8" s="217"/>
      <c r="X8" s="223" t="s">
        <v>136</v>
      </c>
      <c r="Y8" s="223" t="s">
        <v>46</v>
      </c>
      <c r="Z8" s="223" t="s">
        <v>5</v>
      </c>
      <c r="AA8" s="223" t="s">
        <v>47</v>
      </c>
      <c r="AB8" s="223" t="s">
        <v>5</v>
      </c>
      <c r="AC8" s="223" t="s">
        <v>49</v>
      </c>
      <c r="AD8" s="221" t="s">
        <v>29</v>
      </c>
      <c r="AE8" s="217" t="s">
        <v>34</v>
      </c>
      <c r="AF8" s="217" t="s">
        <v>35</v>
      </c>
      <c r="AG8" s="217" t="s">
        <v>36</v>
      </c>
      <c r="AH8" s="217" t="s">
        <v>38</v>
      </c>
      <c r="AI8" s="217" t="s">
        <v>37</v>
      </c>
      <c r="AJ8" s="21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35"/>
      <c r="B9" s="230"/>
      <c r="C9" s="217"/>
      <c r="D9" s="217"/>
      <c r="E9" s="230"/>
      <c r="F9" s="228"/>
      <c r="G9" s="217"/>
      <c r="H9" s="228"/>
      <c r="I9" s="219"/>
      <c r="J9" s="228"/>
      <c r="K9" s="228"/>
      <c r="L9" s="219"/>
      <c r="M9" s="219"/>
      <c r="N9" s="217"/>
      <c r="O9" s="222"/>
      <c r="P9" s="217"/>
      <c r="Q9" s="228"/>
      <c r="R9" s="6" t="s">
        <v>13</v>
      </c>
      <c r="S9" s="6" t="s">
        <v>17</v>
      </c>
      <c r="T9" s="6" t="s">
        <v>28</v>
      </c>
      <c r="U9" s="6" t="s">
        <v>18</v>
      </c>
      <c r="V9" s="6" t="s">
        <v>21</v>
      </c>
      <c r="W9" s="6" t="s">
        <v>24</v>
      </c>
      <c r="X9" s="223"/>
      <c r="Y9" s="223"/>
      <c r="Z9" s="223"/>
      <c r="AA9" s="223"/>
      <c r="AB9" s="223"/>
      <c r="AC9" s="223"/>
      <c r="AD9" s="222"/>
      <c r="AE9" s="217"/>
      <c r="AF9" s="217"/>
      <c r="AG9" s="217"/>
      <c r="AH9" s="217"/>
      <c r="AI9" s="217"/>
      <c r="AJ9" s="21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93.75" customHeight="1" x14ac:dyDescent="0.3">
      <c r="A10" s="199">
        <v>1</v>
      </c>
      <c r="B10" s="202" t="s">
        <v>130</v>
      </c>
      <c r="C10" s="202" t="s">
        <v>220</v>
      </c>
      <c r="D10" s="202" t="s">
        <v>219</v>
      </c>
      <c r="E10" s="205" t="s">
        <v>218</v>
      </c>
      <c r="F10" s="202" t="s">
        <v>121</v>
      </c>
      <c r="G10" s="208">
        <v>104</v>
      </c>
      <c r="H10" s="211" t="str">
        <f>IF(G10&lt;=0,"",IF(G10&lt;=2,"Muy Baja",IF(G10&lt;=24,"Baja",IF(G10&lt;=500,"Media",IF(G10&lt;=5000,"Alta","Muy Alta")))))</f>
        <v>Media</v>
      </c>
      <c r="I10" s="193">
        <f>IF(H10="","",IF(H10="Muy Baja",0.2,IF(H10="Baja",0.4,IF(H10="Media",0.6,IF(H10="Alta",0.8,IF(H10="Muy Alta",1,))))))</f>
        <v>0.6</v>
      </c>
      <c r="J10" s="214" t="s">
        <v>153</v>
      </c>
      <c r="K10" s="193"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1"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3">
        <f ca="1">IF(L10="","",IF(L10="Leve",0.2,IF(L10="Menor",0.4,IF(L10="Moderado",0.6,IF(L10="Mayor",0.8,IF(L10="Catastrófico",1,))))))</f>
        <v>0.6</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5">
        <v>1</v>
      </c>
      <c r="P10" s="26" t="s">
        <v>221</v>
      </c>
      <c r="Q10" s="28" t="str">
        <f>IF(OR(R10="Preventivo",R10="Detectivo"),"Probabilidad",IF(R10="Correctivo","Impacto",""))</f>
        <v>Probabilidad</v>
      </c>
      <c r="R10" s="29" t="s">
        <v>14</v>
      </c>
      <c r="S10" s="29" t="s">
        <v>9</v>
      </c>
      <c r="T10" s="30" t="str">
        <f>IF(AND(R10="Preventivo",S10="Automático"),"50%",IF(AND(R10="Preventivo",S10="Manual"),"40%",IF(AND(R10="Detectivo",S10="Automático"),"40%",IF(AND(R10="Detectivo",S10="Manual"),"30%",IF(AND(R10="Correctivo",S10="Automático"),"35%",IF(AND(R10="Correctivo",S10="Manual"),"25%",""))))))</f>
        <v>40%</v>
      </c>
      <c r="U10" s="29" t="s">
        <v>19</v>
      </c>
      <c r="V10" s="29" t="s">
        <v>22</v>
      </c>
      <c r="W10" s="29" t="s">
        <v>117</v>
      </c>
      <c r="X10" s="13">
        <f>IFERROR(IF(Q10="Probabilidad",(I10-(+I10*T10)),IF(Q10="Impacto",I10,"")),"")</f>
        <v>0.36</v>
      </c>
      <c r="Y10" s="31" t="str">
        <f>IFERROR(IF(X10="","",IF(X10&lt;=0.2,"Muy Baja",IF(X10&lt;=0.4,"Baja",IF(X10&lt;=0.6,"Media",IF(X10&lt;=0.8,"Alta","Muy Alta"))))),"")</f>
        <v>Baja</v>
      </c>
      <c r="Z10" s="32">
        <f>+X10</f>
        <v>0.36</v>
      </c>
      <c r="AA10" s="31" t="str">
        <f ca="1">IFERROR(IF(AB10="","",IF(AB10&lt;=0.2,"Leve",IF(AB10&lt;=0.4,"Menor",IF(AB10&lt;=0.6,"Moderado",IF(AB10&lt;=0.8,"Mayor","Catastrófico"))))),"")</f>
        <v>Moderado</v>
      </c>
      <c r="AB10" s="32">
        <f ca="1">IFERROR(IF(Q10="Impacto",(M10-(+M10*T10)),IF(Q10="Probabilidad",M10,"")),"")</f>
        <v>0.6</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34" t="s">
        <v>31</v>
      </c>
      <c r="AE10" s="35"/>
      <c r="AF10" s="2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23.25" customHeight="1" x14ac:dyDescent="0.3">
      <c r="A11" s="200"/>
      <c r="B11" s="203"/>
      <c r="C11" s="203"/>
      <c r="D11" s="203"/>
      <c r="E11" s="206"/>
      <c r="F11" s="203"/>
      <c r="G11" s="209"/>
      <c r="H11" s="212"/>
      <c r="I11" s="194"/>
      <c r="J11" s="215"/>
      <c r="K11" s="194">
        <f t="shared" ref="K11:K15" ca="1" si="0">IF(NOT(ISERROR(MATCH(J11,_xlfn.ANCHORARRAY(E22),0))),I24&amp;"Por favor no seleccionar los criterios de impacto",J11)</f>
        <v>0</v>
      </c>
      <c r="L11" s="212"/>
      <c r="M11" s="194"/>
      <c r="N11" s="197"/>
      <c r="O11" s="5">
        <v>2</v>
      </c>
      <c r="P11" s="26"/>
      <c r="Q11" s="28" t="str">
        <f>IF(OR(R11="Preventivo",R11="Detectivo"),"Probabilidad",IF(R11="Correctivo","Impacto",""))</f>
        <v/>
      </c>
      <c r="R11" s="29"/>
      <c r="S11" s="29"/>
      <c r="T11" s="30" t="str">
        <f t="shared" ref="T11:T15" si="1">IF(AND(R11="Preventivo",S11="Automático"),"50%",IF(AND(R11="Preventivo",S11="Manual"),"40%",IF(AND(R11="Detectivo",S11="Automático"),"40%",IF(AND(R11="Detectivo",S11="Manual"),"30%",IF(AND(R11="Correctivo",S11="Automático"),"35%",IF(AND(R11="Correctivo",S11="Manual"),"25%",""))))))</f>
        <v/>
      </c>
      <c r="U11" s="29"/>
      <c r="V11" s="29"/>
      <c r="W11" s="29"/>
      <c r="X11" s="13" t="str">
        <f>IFERROR(IF(AND(Q10="Probabilidad",Q11="Probabilidad"),(Z10-(+Z10*T11)),IF(Q11="Probabilidad",(I10-(+I10*T11)),IF(Q11="Impacto",Z10,""))),"")</f>
        <v/>
      </c>
      <c r="Y11" s="31" t="str">
        <f t="shared" ref="Y11:Y13" si="2">IFERROR(IF(X11="","",IF(X11&lt;=0.2,"Muy Baja",IF(X11&lt;=0.4,"Baja",IF(X11&lt;=0.6,"Media",IF(X11&lt;=0.8,"Alta","Muy Alta"))))),"")</f>
        <v/>
      </c>
      <c r="Z11" s="32" t="str">
        <f t="shared" ref="Z11:Z15" si="3">+X11</f>
        <v/>
      </c>
      <c r="AA11" s="31" t="str">
        <f t="shared" ref="AA11:AA15" si="4">IFERROR(IF(AB11="","",IF(AB11&lt;=0.2,"Leve",IF(AB11&lt;=0.4,"Menor",IF(AB11&lt;=0.6,"Moderado",IF(AB11&lt;=0.8,"Mayor","Catastrófico"))))),"")</f>
        <v/>
      </c>
      <c r="AB11" s="32" t="str">
        <f>IFERROR(IF(AND(Q10="Impacto",Q11="Impacto"),(AB4-(+AB4*T11)),IF(Q11="Impacto",($M$16-(+$M$16*T11)),IF(Q11="Probabilidad",AB10,""))),"")</f>
        <v/>
      </c>
      <c r="AC11" s="33" t="str">
        <f t="shared" ref="AC11:AC12"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4"/>
      <c r="AE11" s="35"/>
      <c r="AF11" s="25"/>
      <c r="AG11" s="36"/>
      <c r="AH11" s="36"/>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23.25" customHeight="1" x14ac:dyDescent="0.3">
      <c r="A12" s="200"/>
      <c r="B12" s="203"/>
      <c r="C12" s="203"/>
      <c r="D12" s="203"/>
      <c r="E12" s="206"/>
      <c r="F12" s="203"/>
      <c r="G12" s="209"/>
      <c r="H12" s="212"/>
      <c r="I12" s="194"/>
      <c r="J12" s="215"/>
      <c r="K12" s="194">
        <f t="shared" ca="1" si="0"/>
        <v>0</v>
      </c>
      <c r="L12" s="212"/>
      <c r="M12" s="194"/>
      <c r="N12" s="197"/>
      <c r="O12" s="5">
        <v>3</v>
      </c>
      <c r="P12" s="27"/>
      <c r="Q12" s="28" t="str">
        <f>IF(OR(R12="Preventivo",R12="Detectivo"),"Probabilidad",IF(R12="Correctivo","Impacto",""))</f>
        <v/>
      </c>
      <c r="R12" s="29"/>
      <c r="S12" s="29"/>
      <c r="T12" s="30" t="str">
        <f t="shared" si="1"/>
        <v/>
      </c>
      <c r="U12" s="29"/>
      <c r="V12" s="29"/>
      <c r="W12" s="29"/>
      <c r="X12" s="13" t="str">
        <f>IFERROR(IF(AND(Q11="Probabilidad",Q12="Probabilidad"),(Z11-(+Z11*T12)),IF(AND(Q11="Impacto",Q12="Probabilidad"),(Z10-(+Z10*T12)),IF(Q12="Impacto",Z11,""))),"")</f>
        <v/>
      </c>
      <c r="Y12" s="31" t="str">
        <f t="shared" si="2"/>
        <v/>
      </c>
      <c r="Z12" s="32" t="str">
        <f t="shared" si="3"/>
        <v/>
      </c>
      <c r="AA12" s="31" t="str">
        <f t="shared" si="4"/>
        <v/>
      </c>
      <c r="AB12" s="32" t="str">
        <f>IFERROR(IF(AND(Q11="Impacto",Q12="Impacto"),(AB11-(+AB11*T12)),IF(AND(Q11="Probabilidad",Q12="Impacto"),(AB10-(+AB10*T12)),IF(Q12="Probabilidad",AB11,""))),"")</f>
        <v/>
      </c>
      <c r="AC12" s="33" t="str">
        <f t="shared" si="5"/>
        <v/>
      </c>
      <c r="AD12" s="34"/>
      <c r="AE12" s="35"/>
      <c r="AF12" s="2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23.25" customHeight="1" x14ac:dyDescent="0.3">
      <c r="A13" s="200"/>
      <c r="B13" s="203"/>
      <c r="C13" s="203"/>
      <c r="D13" s="203"/>
      <c r="E13" s="206"/>
      <c r="F13" s="203"/>
      <c r="G13" s="209"/>
      <c r="H13" s="212"/>
      <c r="I13" s="194"/>
      <c r="J13" s="215"/>
      <c r="K13" s="194">
        <f t="shared" ca="1" si="0"/>
        <v>0</v>
      </c>
      <c r="L13" s="212"/>
      <c r="M13" s="194"/>
      <c r="N13" s="197"/>
      <c r="O13" s="5">
        <v>4</v>
      </c>
      <c r="P13" s="26"/>
      <c r="Q13" s="28" t="str">
        <f t="shared" ref="Q13:Q15" si="6">IF(OR(R13="Preventivo",R13="Detectivo"),"Probabilidad",IF(R13="Correctivo","Impacto",""))</f>
        <v/>
      </c>
      <c r="R13" s="29"/>
      <c r="S13" s="29"/>
      <c r="T13" s="30" t="str">
        <f t="shared" si="1"/>
        <v/>
      </c>
      <c r="U13" s="29"/>
      <c r="V13" s="29"/>
      <c r="W13" s="29"/>
      <c r="X13" s="13" t="str">
        <f t="shared" ref="X13:X15" si="7">IFERROR(IF(AND(Q12="Probabilidad",Q13="Probabilidad"),(Z12-(+Z12*T13)),IF(AND(Q12="Impacto",Q13="Probabilidad"),(Z11-(+Z11*T13)),IF(Q13="Impacto",Z12,""))),"")</f>
        <v/>
      </c>
      <c r="Y13" s="31" t="str">
        <f t="shared" si="2"/>
        <v/>
      </c>
      <c r="Z13" s="32" t="str">
        <f t="shared" si="3"/>
        <v/>
      </c>
      <c r="AA13" s="31" t="str">
        <f t="shared" si="4"/>
        <v/>
      </c>
      <c r="AB13" s="32" t="str">
        <f t="shared" ref="AB13:AB15" si="8">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23.25" customHeight="1" x14ac:dyDescent="0.3">
      <c r="A14" s="200"/>
      <c r="B14" s="203"/>
      <c r="C14" s="203"/>
      <c r="D14" s="203"/>
      <c r="E14" s="206"/>
      <c r="F14" s="203"/>
      <c r="G14" s="209"/>
      <c r="H14" s="212"/>
      <c r="I14" s="194"/>
      <c r="J14" s="215"/>
      <c r="K14" s="194">
        <f t="shared" ca="1" si="0"/>
        <v>0</v>
      </c>
      <c r="L14" s="212"/>
      <c r="M14" s="194"/>
      <c r="N14" s="197"/>
      <c r="O14" s="5">
        <v>5</v>
      </c>
      <c r="P14" s="26"/>
      <c r="Q14" s="28" t="str">
        <f t="shared" si="6"/>
        <v/>
      </c>
      <c r="R14" s="29"/>
      <c r="S14" s="29"/>
      <c r="T14" s="30" t="str">
        <f t="shared" si="1"/>
        <v/>
      </c>
      <c r="U14" s="29"/>
      <c r="V14" s="29"/>
      <c r="W14" s="29"/>
      <c r="X14" s="139" t="str">
        <f t="shared" si="7"/>
        <v/>
      </c>
      <c r="Y14" s="31" t="str">
        <f>IFERROR(IF(X14="","",IF(X14&lt;=0.2,"Muy Baja",IF(X14&lt;=0.4,"Baja",IF(X14&lt;=0.6,"Media",IF(X14&lt;=0.8,"Alta","Muy Alta"))))),"")</f>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23.25" customHeight="1" x14ac:dyDescent="0.3">
      <c r="A15" s="201"/>
      <c r="B15" s="204"/>
      <c r="C15" s="204"/>
      <c r="D15" s="204"/>
      <c r="E15" s="207"/>
      <c r="F15" s="204"/>
      <c r="G15" s="210"/>
      <c r="H15" s="213"/>
      <c r="I15" s="195"/>
      <c r="J15" s="216"/>
      <c r="K15" s="195">
        <f t="shared" ca="1" si="0"/>
        <v>0</v>
      </c>
      <c r="L15" s="213"/>
      <c r="M15" s="195"/>
      <c r="N15" s="198"/>
      <c r="O15" s="5">
        <v>6</v>
      </c>
      <c r="P15" s="26"/>
      <c r="Q15" s="28" t="str">
        <f t="shared" si="6"/>
        <v/>
      </c>
      <c r="R15" s="29"/>
      <c r="S15" s="29"/>
      <c r="T15" s="30" t="str">
        <f t="shared" si="1"/>
        <v/>
      </c>
      <c r="U15" s="29"/>
      <c r="V15" s="29"/>
      <c r="W15" s="29"/>
      <c r="X15" s="13" t="str">
        <f t="shared" si="7"/>
        <v/>
      </c>
      <c r="Y15" s="31" t="str">
        <f t="shared" ref="Y15" si="10">IFERROR(IF(X15="","",IF(X15&lt;=0.2,"Muy Baja",IF(X15&lt;=0.4,"Baja",IF(X15&lt;=0.6,"Media",IF(X15&lt;=0.8,"Alta","Muy Alta"))))),"")</f>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102.75" customHeight="1" x14ac:dyDescent="0.3">
      <c r="A16" s="199">
        <v>2</v>
      </c>
      <c r="B16" s="202" t="s">
        <v>130</v>
      </c>
      <c r="C16" s="202" t="s">
        <v>223</v>
      </c>
      <c r="D16" s="202" t="s">
        <v>224</v>
      </c>
      <c r="E16" s="205" t="s">
        <v>222</v>
      </c>
      <c r="F16" s="202" t="s">
        <v>121</v>
      </c>
      <c r="G16" s="208">
        <v>104</v>
      </c>
      <c r="H16" s="211" t="str">
        <f>IF(G16&lt;=0,"",IF(G16&lt;=2,"Muy Baja",IF(G16&lt;=24,"Baja",IF(G16&lt;=500,"Media",IF(G16&lt;=5000,"Alta","Muy Alta")))))</f>
        <v>Media</v>
      </c>
      <c r="I16" s="193">
        <f>IF(H16="","",IF(H16="Muy Baja",0.2,IF(H16="Baja",0.4,IF(H16="Media",0.6,IF(H16="Alta",0.8,IF(H16="Muy Alta",1,))))))</f>
        <v>0.6</v>
      </c>
      <c r="J16" s="214" t="s">
        <v>154</v>
      </c>
      <c r="K16" s="193"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11" t="str">
        <f ca="1">IF(OR(K16='Tabla Impacto'!$C$11,K16='Tabla Impacto'!$D$11),"Leve",IF(OR(K16='Tabla Impacto'!$C$12,K16='Tabla Impacto'!$D$12),"Menor",IF(OR(K16='Tabla Impacto'!$C$13,K16='Tabla Impacto'!$D$13),"Moderado",IF(OR(K16='Tabla Impacto'!$C$14,K16='Tabla Impacto'!$D$14),"Mayor",IF(OR(K16='Tabla Impacto'!$C$15,K16='Tabla Impacto'!$D$15),"Catastrófico","")))))</f>
        <v>Mayor</v>
      </c>
      <c r="M16" s="193">
        <f ca="1">IF(L16="","",IF(L16="Leve",0.2,IF(L16="Menor",0.4,IF(L16="Moderado",0.6,IF(L16="Mayor",0.8,IF(L16="Catastrófico",1,))))))</f>
        <v>0.8</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5">
        <v>1</v>
      </c>
      <c r="P16" s="26" t="s">
        <v>221</v>
      </c>
      <c r="Q16" s="28" t="str">
        <f>IF(OR(R16="Preventivo",R16="Detectivo"),"Probabilidad",IF(R16="Correctivo","Impacto",""))</f>
        <v>Probabilidad</v>
      </c>
      <c r="R16" s="29" t="s">
        <v>14</v>
      </c>
      <c r="S16" s="29" t="s">
        <v>9</v>
      </c>
      <c r="T16" s="30" t="str">
        <f>IF(AND(R16="Preventivo",S16="Automático"),"50%",IF(AND(R16="Preventivo",S16="Manual"),"40%",IF(AND(R16="Detectivo",S16="Automático"),"40%",IF(AND(R16="Detectivo",S16="Manual"),"30%",IF(AND(R16="Correctivo",S16="Automático"),"35%",IF(AND(R16="Correctivo",S16="Manual"),"25%",""))))))</f>
        <v>40%</v>
      </c>
      <c r="U16" s="29" t="s">
        <v>19</v>
      </c>
      <c r="V16" s="29" t="s">
        <v>22</v>
      </c>
      <c r="W16" s="29" t="s">
        <v>117</v>
      </c>
      <c r="X16" s="13">
        <f>IFERROR(IF(Q16="Probabilidad",(I16-(+I16*T16)),IF(Q16="Impacto",I16,"")),"")</f>
        <v>0.36</v>
      </c>
      <c r="Y16" s="31" t="str">
        <f>IFERROR(IF(X16="","",IF(X16&lt;=0.2,"Muy Baja",IF(X16&lt;=0.4,"Baja",IF(X16&lt;=0.6,"Media",IF(X16&lt;=0.8,"Alta","Muy Alta"))))),"")</f>
        <v>Baja</v>
      </c>
      <c r="Z16" s="32">
        <f>+X16</f>
        <v>0.36</v>
      </c>
      <c r="AA16" s="31" t="str">
        <f ca="1">IFERROR(IF(AB16="","",IF(AB16&lt;=0.2,"Leve",IF(AB16&lt;=0.4,"Menor",IF(AB16&lt;=0.6,"Moderado",IF(AB16&lt;=0.8,"Mayor","Catastrófico"))))),"")</f>
        <v>Mayor</v>
      </c>
      <c r="AB16" s="32">
        <f ca="1">IFERROR(IF(Q16="Impacto",(M16-(+M16*T16)),IF(Q16="Probabilidad",M16,"")),"")</f>
        <v>0.8</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34" t="s">
        <v>134</v>
      </c>
      <c r="AE16" s="35" t="s">
        <v>225</v>
      </c>
      <c r="AF16" s="35" t="s">
        <v>226</v>
      </c>
      <c r="AG16" s="141" t="s">
        <v>231</v>
      </c>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33.75" customHeight="1" x14ac:dyDescent="0.3">
      <c r="A17" s="200"/>
      <c r="B17" s="203"/>
      <c r="C17" s="203"/>
      <c r="D17" s="203"/>
      <c r="E17" s="206"/>
      <c r="F17" s="203"/>
      <c r="G17" s="209"/>
      <c r="H17" s="212"/>
      <c r="I17" s="194"/>
      <c r="J17" s="215"/>
      <c r="K17" s="194">
        <f t="shared" ref="K17:K21" ca="1" si="11">IF(NOT(ISERROR(MATCH(J17,_xlfn.ANCHORARRAY(E28),0))),I30&amp;"Por favor no seleccionar los criterios de impacto",J17)</f>
        <v>0</v>
      </c>
      <c r="L17" s="212"/>
      <c r="M17" s="194"/>
      <c r="N17" s="197"/>
      <c r="O17" s="5">
        <v>2</v>
      </c>
      <c r="P17" s="26"/>
      <c r="Q17" s="28" t="str">
        <f>IF(OR(R17="Preventivo",R17="Detectivo"),"Probabilidad",IF(R17="Correctivo","Impacto",""))</f>
        <v/>
      </c>
      <c r="R17" s="29"/>
      <c r="S17" s="29"/>
      <c r="T17" s="30" t="str">
        <f t="shared" ref="T17:T21" si="12">IF(AND(R17="Preventivo",S17="Automático"),"50%",IF(AND(R17="Preventivo",S17="Manual"),"40%",IF(AND(R17="Detectivo",S17="Automático"),"40%",IF(AND(R17="Detectivo",S17="Manual"),"30%",IF(AND(R17="Correctivo",S17="Automático"),"35%",IF(AND(R17="Correctivo",S17="Manual"),"25%",""))))))</f>
        <v/>
      </c>
      <c r="U17" s="29"/>
      <c r="V17" s="29"/>
      <c r="W17" s="29"/>
      <c r="X17" s="13" t="str">
        <f>IFERROR(IF(AND(Q16="Probabilidad",Q17="Probabilidad"),(Z16-(+Z16*T17)),IF(Q17="Probabilidad",(I16-(+I16*T17)),IF(Q17="Impacto",Z16,""))),"")</f>
        <v/>
      </c>
      <c r="Y17" s="31" t="str">
        <f t="shared" ref="Y17:Y57" si="13">IFERROR(IF(X17="","",IF(X17&lt;=0.2,"Muy Baja",IF(X17&lt;=0.4,"Baja",IF(X17&lt;=0.6,"Media",IF(X17&lt;=0.8,"Alta","Muy Alta"))))),"")</f>
        <v/>
      </c>
      <c r="Z17" s="32" t="str">
        <f t="shared" ref="Z17:Z21" si="14">+X17</f>
        <v/>
      </c>
      <c r="AA17" s="31" t="str">
        <f t="shared" ref="AA17:AA57" si="15">IFERROR(IF(AB17="","",IF(AB17&lt;=0.2,"Leve",IF(AB17&lt;=0.4,"Menor",IF(AB17&lt;=0.6,"Moderado",IF(AB17&lt;=0.8,"Mayor","Catastrófico"))))),"")</f>
        <v/>
      </c>
      <c r="AB17" s="32" t="str">
        <f>IFERROR(IF(AND(Q16="Impacto",Q17="Impacto"),(AB10-(+AB10*T17)),IF(Q17="Impacto",($M$16-(+$M$16*T17)),IF(Q17="Probabilidad",AB16,""))),"")</f>
        <v/>
      </c>
      <c r="AC17" s="33" t="str">
        <f t="shared" ref="AC17:AC18" si="16">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34"/>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33.75" customHeight="1" x14ac:dyDescent="0.3">
      <c r="A18" s="200"/>
      <c r="B18" s="203"/>
      <c r="C18" s="203"/>
      <c r="D18" s="203"/>
      <c r="E18" s="206"/>
      <c r="F18" s="203"/>
      <c r="G18" s="209"/>
      <c r="H18" s="212"/>
      <c r="I18" s="194"/>
      <c r="J18" s="215"/>
      <c r="K18" s="194">
        <f t="shared" ca="1" si="11"/>
        <v>0</v>
      </c>
      <c r="L18" s="212"/>
      <c r="M18" s="194"/>
      <c r="N18" s="197"/>
      <c r="O18" s="5">
        <v>3</v>
      </c>
      <c r="P18" s="27"/>
      <c r="Q18" s="28" t="str">
        <f>IF(OR(R18="Preventivo",R18="Detectivo"),"Probabilidad",IF(R18="Correctivo","Impacto",""))</f>
        <v/>
      </c>
      <c r="R18" s="29"/>
      <c r="S18" s="29"/>
      <c r="T18" s="30" t="str">
        <f t="shared" si="12"/>
        <v/>
      </c>
      <c r="U18" s="29"/>
      <c r="V18" s="29"/>
      <c r="W18" s="29"/>
      <c r="X18" s="13" t="str">
        <f>IFERROR(IF(AND(Q17="Probabilidad",Q18="Probabilidad"),(Z17-(+Z17*T18)),IF(AND(Q17="Impacto",Q18="Probabilidad"),(Z16-(+Z16*T18)),IF(Q18="Impacto",Z17,""))),"")</f>
        <v/>
      </c>
      <c r="Y18" s="31" t="str">
        <f t="shared" si="13"/>
        <v/>
      </c>
      <c r="Z18" s="32" t="str">
        <f t="shared" si="14"/>
        <v/>
      </c>
      <c r="AA18" s="31" t="str">
        <f t="shared" si="15"/>
        <v/>
      </c>
      <c r="AB18" s="32" t="str">
        <f>IFERROR(IF(AND(Q17="Impacto",Q18="Impacto"),(AB17-(+AB17*T18)),IF(AND(Q17="Probabilidad",Q18="Impacto"),(AB16-(+AB16*T18)),IF(Q18="Probabilidad",AB17,""))),"")</f>
        <v/>
      </c>
      <c r="AC18" s="33" t="str">
        <f t="shared" si="16"/>
        <v/>
      </c>
      <c r="AD18" s="34"/>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33.75" customHeight="1" x14ac:dyDescent="0.3">
      <c r="A19" s="200"/>
      <c r="B19" s="203"/>
      <c r="C19" s="203"/>
      <c r="D19" s="203"/>
      <c r="E19" s="206"/>
      <c r="F19" s="203"/>
      <c r="G19" s="209"/>
      <c r="H19" s="212"/>
      <c r="I19" s="194"/>
      <c r="J19" s="215"/>
      <c r="K19" s="194">
        <f t="shared" ca="1" si="11"/>
        <v>0</v>
      </c>
      <c r="L19" s="212"/>
      <c r="M19" s="194"/>
      <c r="N19" s="197"/>
      <c r="O19" s="5">
        <v>4</v>
      </c>
      <c r="P19" s="26"/>
      <c r="Q19" s="28" t="str">
        <f t="shared" ref="Q19:Q21" si="17">IF(OR(R19="Preventivo",R19="Detectivo"),"Probabilidad",IF(R19="Correctivo","Impacto",""))</f>
        <v/>
      </c>
      <c r="R19" s="29"/>
      <c r="S19" s="29"/>
      <c r="T19" s="30" t="str">
        <f t="shared" si="12"/>
        <v/>
      </c>
      <c r="U19" s="29"/>
      <c r="V19" s="29"/>
      <c r="W19" s="29"/>
      <c r="X19" s="13" t="str">
        <f t="shared" ref="X19:X21" si="18">IFERROR(IF(AND(Q18="Probabilidad",Q19="Probabilidad"),(Z18-(+Z18*T19)),IF(AND(Q18="Impacto",Q19="Probabilidad"),(Z17-(+Z17*T19)),IF(Q19="Impacto",Z18,""))),"")</f>
        <v/>
      </c>
      <c r="Y19" s="31" t="str">
        <f t="shared" si="13"/>
        <v/>
      </c>
      <c r="Z19" s="32" t="str">
        <f t="shared" si="14"/>
        <v/>
      </c>
      <c r="AA19" s="31" t="str">
        <f t="shared" si="15"/>
        <v/>
      </c>
      <c r="AB19" s="32" t="str">
        <f t="shared" ref="AB19:AB21" si="19">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33.75" customHeight="1" x14ac:dyDescent="0.3">
      <c r="A20" s="200"/>
      <c r="B20" s="203"/>
      <c r="C20" s="203"/>
      <c r="D20" s="203"/>
      <c r="E20" s="206"/>
      <c r="F20" s="203"/>
      <c r="G20" s="209"/>
      <c r="H20" s="212"/>
      <c r="I20" s="194"/>
      <c r="J20" s="215"/>
      <c r="K20" s="194">
        <f t="shared" ca="1" si="11"/>
        <v>0</v>
      </c>
      <c r="L20" s="212"/>
      <c r="M20" s="194"/>
      <c r="N20" s="197"/>
      <c r="O20" s="5">
        <v>5</v>
      </c>
      <c r="P20" s="26"/>
      <c r="Q20" s="28" t="str">
        <f t="shared" si="17"/>
        <v/>
      </c>
      <c r="R20" s="29"/>
      <c r="S20" s="29"/>
      <c r="T20" s="30" t="str">
        <f t="shared" si="12"/>
        <v/>
      </c>
      <c r="U20" s="29"/>
      <c r="V20" s="29"/>
      <c r="W20" s="29"/>
      <c r="X20" s="139" t="str">
        <f t="shared" si="18"/>
        <v/>
      </c>
      <c r="Y20" s="31" t="str">
        <f>IFERROR(IF(X20="","",IF(X20&lt;=0.2,"Muy Baja",IF(X20&lt;=0.4,"Baja",IF(X20&lt;=0.6,"Media",IF(X20&lt;=0.8,"Alta","Muy Alta"))))),"")</f>
        <v/>
      </c>
      <c r="Z20" s="32" t="str">
        <f t="shared" si="14"/>
        <v/>
      </c>
      <c r="AA20" s="31" t="str">
        <f t="shared" si="15"/>
        <v/>
      </c>
      <c r="AB20" s="32" t="str">
        <f t="shared" si="19"/>
        <v/>
      </c>
      <c r="AC20" s="33" t="str">
        <f t="shared" ref="AC20:AC21" si="2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33.75" customHeight="1" x14ac:dyDescent="0.3">
      <c r="A21" s="201"/>
      <c r="B21" s="204"/>
      <c r="C21" s="204"/>
      <c r="D21" s="204"/>
      <c r="E21" s="207"/>
      <c r="F21" s="204"/>
      <c r="G21" s="210"/>
      <c r="H21" s="213"/>
      <c r="I21" s="195"/>
      <c r="J21" s="216"/>
      <c r="K21" s="195">
        <f t="shared" ca="1" si="11"/>
        <v>0</v>
      </c>
      <c r="L21" s="213"/>
      <c r="M21" s="195"/>
      <c r="N21" s="198"/>
      <c r="O21" s="5">
        <v>6</v>
      </c>
      <c r="P21" s="26"/>
      <c r="Q21" s="28" t="str">
        <f t="shared" si="17"/>
        <v/>
      </c>
      <c r="R21" s="29"/>
      <c r="S21" s="29"/>
      <c r="T21" s="30" t="str">
        <f t="shared" si="12"/>
        <v/>
      </c>
      <c r="U21" s="29"/>
      <c r="V21" s="29"/>
      <c r="W21" s="29"/>
      <c r="X21" s="13" t="str">
        <f t="shared" si="18"/>
        <v/>
      </c>
      <c r="Y21" s="31" t="str">
        <f t="shared" si="13"/>
        <v/>
      </c>
      <c r="Z21" s="32" t="str">
        <f t="shared" si="14"/>
        <v/>
      </c>
      <c r="AA21" s="31" t="str">
        <f t="shared" si="15"/>
        <v/>
      </c>
      <c r="AB21" s="32" t="str">
        <f t="shared" si="19"/>
        <v/>
      </c>
      <c r="AC21" s="33" t="str">
        <f t="shared" si="20"/>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71.25" customHeight="1" x14ac:dyDescent="0.3">
      <c r="A22" s="199">
        <v>3</v>
      </c>
      <c r="B22" s="202" t="s">
        <v>130</v>
      </c>
      <c r="C22" s="202" t="s">
        <v>228</v>
      </c>
      <c r="D22" s="202" t="s">
        <v>229</v>
      </c>
      <c r="E22" s="205" t="s">
        <v>227</v>
      </c>
      <c r="F22" s="202" t="s">
        <v>121</v>
      </c>
      <c r="G22" s="208">
        <v>365</v>
      </c>
      <c r="H22" s="211" t="str">
        <f>IF(G22&lt;=0,"",IF(G22&lt;=2,"Muy Baja",IF(G22&lt;=24,"Baja",IF(G22&lt;=500,"Media",IF(G22&lt;=5000,"Alta","Muy Alta")))))</f>
        <v>Media</v>
      </c>
      <c r="I22" s="193">
        <f>IF(H22="","",IF(H22="Muy Baja",0.2,IF(H22="Baja",0.4,IF(H22="Media",0.6,IF(H22="Alta",0.8,IF(H22="Muy Alta",1,))))))</f>
        <v>0.6</v>
      </c>
      <c r="J22" s="214" t="s">
        <v>152</v>
      </c>
      <c r="K22" s="193"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211" t="str">
        <f ca="1">IF(OR(K22='Tabla Impacto'!$C$11,K22='Tabla Impacto'!$D$11),"Leve",IF(OR(K22='Tabla Impacto'!$C$12,K22='Tabla Impacto'!$D$12),"Menor",IF(OR(K22='Tabla Impacto'!$C$13,K22='Tabla Impacto'!$D$13),"Moderado",IF(OR(K22='Tabla Impacto'!$C$14,K22='Tabla Impacto'!$D$14),"Mayor",IF(OR(K22='Tabla Impacto'!$C$15,K22='Tabla Impacto'!$D$15),"Catastrófico","")))))</f>
        <v>Menor</v>
      </c>
      <c r="M22" s="193">
        <f ca="1">IF(L22="","",IF(L22="Leve",0.2,IF(L22="Menor",0.4,IF(L22="Moderado",0.6,IF(L22="Mayor",0.8,IF(L22="Catastrófico",1,))))))</f>
        <v>0.4</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5">
        <v>1</v>
      </c>
      <c r="P22" s="26" t="s">
        <v>230</v>
      </c>
      <c r="Q22" s="28" t="str">
        <f>IF(OR(R22="Preventivo",R22="Detectivo"),"Probabilidad",IF(R22="Correctivo","Impacto",""))</f>
        <v>Probabilidad</v>
      </c>
      <c r="R22" s="29" t="s">
        <v>14</v>
      </c>
      <c r="S22" s="29" t="s">
        <v>9</v>
      </c>
      <c r="T22" s="30" t="str">
        <f>IF(AND(R22="Preventivo",S22="Automático"),"50%",IF(AND(R22="Preventivo",S22="Manual"),"40%",IF(AND(R22="Detectivo",S22="Automático"),"40%",IF(AND(R22="Detectivo",S22="Manual"),"30%",IF(AND(R22="Correctivo",S22="Automático"),"35%",IF(AND(R22="Correctivo",S22="Manual"),"25%",""))))))</f>
        <v>40%</v>
      </c>
      <c r="U22" s="29" t="s">
        <v>19</v>
      </c>
      <c r="V22" s="29" t="s">
        <v>22</v>
      </c>
      <c r="W22" s="29" t="s">
        <v>117</v>
      </c>
      <c r="X22" s="13">
        <f>IFERROR(IF(Q22="Probabilidad",(I22-(+I22*T22)),IF(Q22="Impacto",I22,"")),"")</f>
        <v>0.36</v>
      </c>
      <c r="Y22" s="31" t="str">
        <f>IFERROR(IF(X22="","",IF(X22&lt;=0.2,"Muy Baja",IF(X22&lt;=0.4,"Baja",IF(X22&lt;=0.6,"Media",IF(X22&lt;=0.8,"Alta","Muy Alta"))))),"")</f>
        <v>Baja</v>
      </c>
      <c r="Z22" s="32">
        <f>+X22</f>
        <v>0.36</v>
      </c>
      <c r="AA22" s="31" t="str">
        <f ca="1">IFERROR(IF(AB22="","",IF(AB22&lt;=0.2,"Leve",IF(AB22&lt;=0.4,"Menor",IF(AB22&lt;=0.6,"Moderado",IF(AB22&lt;=0.8,"Mayor","Catastrófico"))))),"")</f>
        <v>Menor</v>
      </c>
      <c r="AB22" s="32">
        <f ca="1">IFERROR(IF(Q22="Impacto",(M22-(+M22*T22)),IF(Q22="Probabilidad",M22,"")),"")</f>
        <v>0.4</v>
      </c>
      <c r="AC22" s="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34" t="s">
        <v>31</v>
      </c>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23.25" customHeight="1" x14ac:dyDescent="0.3">
      <c r="A23" s="200"/>
      <c r="B23" s="203"/>
      <c r="C23" s="203"/>
      <c r="D23" s="203"/>
      <c r="E23" s="206"/>
      <c r="F23" s="203"/>
      <c r="G23" s="209"/>
      <c r="H23" s="212"/>
      <c r="I23" s="194"/>
      <c r="J23" s="215"/>
      <c r="K23" s="194">
        <f t="shared" ref="K23:K27" ca="1" si="21">IF(NOT(ISERROR(MATCH(J23,_xlfn.ANCHORARRAY(E34),0))),I36&amp;"Por favor no seleccionar los criterios de impacto",J23)</f>
        <v>0</v>
      </c>
      <c r="L23" s="212"/>
      <c r="M23" s="194"/>
      <c r="N23" s="197"/>
      <c r="O23" s="5">
        <v>2</v>
      </c>
      <c r="P23" s="26"/>
      <c r="Q23" s="28" t="str">
        <f>IF(OR(R23="Preventivo",R23="Detectivo"),"Probabilidad",IF(R23="Correctivo","Impacto",""))</f>
        <v/>
      </c>
      <c r="R23" s="29"/>
      <c r="S23" s="29"/>
      <c r="T23" s="30" t="str">
        <f t="shared" ref="T23:T27" si="22">IF(AND(R23="Preventivo",S23="Automático"),"50%",IF(AND(R23="Preventivo",S23="Manual"),"40%",IF(AND(R23="Detectivo",S23="Automático"),"40%",IF(AND(R23="Detectivo",S23="Manual"),"30%",IF(AND(R23="Correctivo",S23="Automático"),"35%",IF(AND(R23="Correctivo",S23="Manual"),"25%",""))))))</f>
        <v/>
      </c>
      <c r="U23" s="29"/>
      <c r="V23" s="29"/>
      <c r="W23" s="29"/>
      <c r="X23" s="13" t="str">
        <f>IFERROR(IF(AND(Q22="Probabilidad",Q23="Probabilidad"),(Z22-(+Z22*T23)),IF(Q23="Probabilidad",(I22-(+I22*T23)),IF(Q23="Impacto",Z22,""))),"")</f>
        <v/>
      </c>
      <c r="Y23" s="31" t="str">
        <f t="shared" si="13"/>
        <v/>
      </c>
      <c r="Z23" s="32" t="str">
        <f t="shared" ref="Z23:Z27" si="23">+X23</f>
        <v/>
      </c>
      <c r="AA23" s="31" t="str">
        <f t="shared" si="15"/>
        <v/>
      </c>
      <c r="AB23" s="32" t="str">
        <f>IFERROR(IF(AND(Q22="Impacto",Q23="Impacto"),(AB16-(+AB16*T23)),IF(Q23="Impacto",($M$22-(+$M$22*T23)),IF(Q23="Probabilidad",AB22,""))),"")</f>
        <v/>
      </c>
      <c r="AC23" s="33" t="str">
        <f t="shared" ref="AC23:AC24" si="2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34"/>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00"/>
      <c r="B24" s="203"/>
      <c r="C24" s="203"/>
      <c r="D24" s="203"/>
      <c r="E24" s="206"/>
      <c r="F24" s="203"/>
      <c r="G24" s="209"/>
      <c r="H24" s="212"/>
      <c r="I24" s="194"/>
      <c r="J24" s="215"/>
      <c r="K24" s="194">
        <f t="shared" ca="1" si="21"/>
        <v>0</v>
      </c>
      <c r="L24" s="212"/>
      <c r="M24" s="194"/>
      <c r="N24" s="197"/>
      <c r="O24" s="5">
        <v>3</v>
      </c>
      <c r="P24" s="27"/>
      <c r="Q24" s="28" t="str">
        <f>IF(OR(R24="Preventivo",R24="Detectivo"),"Probabilidad",IF(R24="Correctivo","Impacto",""))</f>
        <v/>
      </c>
      <c r="R24" s="29"/>
      <c r="S24" s="29"/>
      <c r="T24" s="30" t="str">
        <f t="shared" si="22"/>
        <v/>
      </c>
      <c r="U24" s="29"/>
      <c r="V24" s="29"/>
      <c r="W24" s="29"/>
      <c r="X24" s="13" t="str">
        <f>IFERROR(IF(AND(Q23="Probabilidad",Q24="Probabilidad"),(Z23-(+Z23*T24)),IF(AND(Q23="Impacto",Q24="Probabilidad"),(Z22-(+Z22*T24)),IF(Q24="Impacto",Z23,""))),"")</f>
        <v/>
      </c>
      <c r="Y24" s="31" t="str">
        <f t="shared" si="13"/>
        <v/>
      </c>
      <c r="Z24" s="32" t="str">
        <f t="shared" si="23"/>
        <v/>
      </c>
      <c r="AA24" s="31" t="str">
        <f t="shared" si="15"/>
        <v/>
      </c>
      <c r="AB24" s="32" t="str">
        <f>IFERROR(IF(AND(Q23="Impacto",Q24="Impacto"),(AB23-(+AB23*T24)),IF(AND(Q23="Probabilidad",Q24="Impacto"),(AB22-(+AB22*T24)),IF(Q24="Probabilidad",AB23,""))),"")</f>
        <v/>
      </c>
      <c r="AC24" s="33" t="str">
        <f t="shared" si="24"/>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00"/>
      <c r="B25" s="203"/>
      <c r="C25" s="203"/>
      <c r="D25" s="203"/>
      <c r="E25" s="206"/>
      <c r="F25" s="203"/>
      <c r="G25" s="209"/>
      <c r="H25" s="212"/>
      <c r="I25" s="194"/>
      <c r="J25" s="215"/>
      <c r="K25" s="194">
        <f t="shared" ca="1" si="21"/>
        <v>0</v>
      </c>
      <c r="L25" s="212"/>
      <c r="M25" s="194"/>
      <c r="N25" s="197"/>
      <c r="O25" s="5">
        <v>4</v>
      </c>
      <c r="P25" s="26"/>
      <c r="Q25" s="28" t="str">
        <f t="shared" ref="Q25:Q27" si="25">IF(OR(R25="Preventivo",R25="Detectivo"),"Probabilidad",IF(R25="Correctivo","Impacto",""))</f>
        <v/>
      </c>
      <c r="R25" s="29"/>
      <c r="S25" s="29"/>
      <c r="T25" s="30" t="str">
        <f t="shared" si="22"/>
        <v/>
      </c>
      <c r="U25" s="29"/>
      <c r="V25" s="29"/>
      <c r="W25" s="29"/>
      <c r="X25" s="13" t="str">
        <f t="shared" ref="X25:X27" si="26">IFERROR(IF(AND(Q24="Probabilidad",Q25="Probabilidad"),(Z24-(+Z24*T25)),IF(AND(Q24="Impacto",Q25="Probabilidad"),(Z23-(+Z23*T25)),IF(Q25="Impacto",Z24,""))),"")</f>
        <v/>
      </c>
      <c r="Y25" s="31" t="str">
        <f t="shared" si="13"/>
        <v/>
      </c>
      <c r="Z25" s="32" t="str">
        <f t="shared" si="23"/>
        <v/>
      </c>
      <c r="AA25" s="31" t="str">
        <f t="shared" si="15"/>
        <v/>
      </c>
      <c r="AB25" s="32" t="str">
        <f t="shared" ref="AB25:AB27" si="27">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00"/>
      <c r="B26" s="203"/>
      <c r="C26" s="203"/>
      <c r="D26" s="203"/>
      <c r="E26" s="206"/>
      <c r="F26" s="203"/>
      <c r="G26" s="209"/>
      <c r="H26" s="212"/>
      <c r="I26" s="194"/>
      <c r="J26" s="215"/>
      <c r="K26" s="194">
        <f t="shared" ca="1" si="21"/>
        <v>0</v>
      </c>
      <c r="L26" s="212"/>
      <c r="M26" s="194"/>
      <c r="N26" s="197"/>
      <c r="O26" s="5">
        <v>5</v>
      </c>
      <c r="P26" s="26"/>
      <c r="Q26" s="28" t="str">
        <f t="shared" si="25"/>
        <v/>
      </c>
      <c r="R26" s="29"/>
      <c r="S26" s="29"/>
      <c r="T26" s="30" t="str">
        <f t="shared" si="22"/>
        <v/>
      </c>
      <c r="U26" s="29"/>
      <c r="V26" s="29"/>
      <c r="W26" s="29"/>
      <c r="X26" s="13" t="str">
        <f t="shared" si="26"/>
        <v/>
      </c>
      <c r="Y26" s="31" t="str">
        <f t="shared" si="13"/>
        <v/>
      </c>
      <c r="Z26" s="32" t="str">
        <f t="shared" si="23"/>
        <v/>
      </c>
      <c r="AA26" s="31" t="str">
        <f t="shared" si="15"/>
        <v/>
      </c>
      <c r="AB26" s="32" t="str">
        <f t="shared" si="27"/>
        <v/>
      </c>
      <c r="AC26" s="33" t="str">
        <f t="shared" ref="AC26:AC27" si="28">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01"/>
      <c r="B27" s="204"/>
      <c r="C27" s="204"/>
      <c r="D27" s="204"/>
      <c r="E27" s="207"/>
      <c r="F27" s="204"/>
      <c r="G27" s="210"/>
      <c r="H27" s="213"/>
      <c r="I27" s="195"/>
      <c r="J27" s="216"/>
      <c r="K27" s="195">
        <f t="shared" ca="1" si="21"/>
        <v>0</v>
      </c>
      <c r="L27" s="213"/>
      <c r="M27" s="195"/>
      <c r="N27" s="198"/>
      <c r="O27" s="5">
        <v>6</v>
      </c>
      <c r="P27" s="26"/>
      <c r="Q27" s="28" t="str">
        <f t="shared" si="25"/>
        <v/>
      </c>
      <c r="R27" s="29"/>
      <c r="S27" s="29"/>
      <c r="T27" s="30" t="str">
        <f t="shared" si="22"/>
        <v/>
      </c>
      <c r="U27" s="29"/>
      <c r="V27" s="29"/>
      <c r="W27" s="29"/>
      <c r="X27" s="13" t="str">
        <f t="shared" si="26"/>
        <v/>
      </c>
      <c r="Y27" s="31" t="str">
        <f t="shared" si="13"/>
        <v/>
      </c>
      <c r="Z27" s="32" t="str">
        <f t="shared" si="23"/>
        <v/>
      </c>
      <c r="AA27" s="31" t="str">
        <f t="shared" si="15"/>
        <v/>
      </c>
      <c r="AB27" s="32" t="str">
        <f t="shared" si="27"/>
        <v/>
      </c>
      <c r="AC27" s="33" t="str">
        <f t="shared" si="28"/>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23.2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5">
        <v>1</v>
      </c>
      <c r="P28" s="26"/>
      <c r="Q28" s="28" t="str">
        <f>IF(OR(R28="Preventivo",R28="Detectivo"),"Probabilidad",IF(R28="Correctivo","Impacto",""))</f>
        <v/>
      </c>
      <c r="R28" s="29"/>
      <c r="S28" s="29"/>
      <c r="T28" s="30" t="str">
        <f>IF(AND(R28="Preventivo",S28="Automático"),"50%",IF(AND(R28="Preventivo",S28="Manual"),"40%",IF(AND(R28="Detectivo",S28="Automático"),"40%",IF(AND(R28="Detectivo",S28="Manual"),"30%",IF(AND(R28="Correctivo",S28="Automático"),"35%",IF(AND(R28="Correctivo",S28="Manual"),"25%",""))))))</f>
        <v/>
      </c>
      <c r="U28" s="29"/>
      <c r="V28" s="29"/>
      <c r="W28" s="29"/>
      <c r="X28" s="13"/>
      <c r="Y28" s="31" t="str">
        <f>IFERROR(IF(X28="","",IF(X28&lt;=0.2,"Muy Baja",IF(X28&lt;=0.4,"Baja",IF(X28&lt;=0.6,"Media",IF(X28&lt;=0.8,"Alta","Muy Alta"))))),"")</f>
        <v/>
      </c>
      <c r="Z28" s="32"/>
      <c r="AA28" s="31" t="str">
        <f>IFERROR(IF(AB28="","",IF(AB28&lt;=0.2,"Leve",IF(AB28&lt;=0.4,"Menor",IF(AB28&lt;=0.6,"Moderado",IF(AB28&lt;=0.8,"Mayor","Catastrófico"))))),"")</f>
        <v/>
      </c>
      <c r="AB28" s="32" t="str">
        <f>IFERROR(IF(Q28="Impacto",(M28-(+M28*T28)),IF(Q28="Probabilidad",M28,"")),"")</f>
        <v/>
      </c>
      <c r="AC28" s="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34"/>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23.25" customHeight="1" x14ac:dyDescent="0.3">
      <c r="A29" s="200"/>
      <c r="B29" s="203"/>
      <c r="C29" s="203"/>
      <c r="D29" s="203"/>
      <c r="E29" s="206"/>
      <c r="F29" s="203"/>
      <c r="G29" s="209"/>
      <c r="H29" s="212"/>
      <c r="I29" s="194"/>
      <c r="J29" s="215"/>
      <c r="K29" s="194">
        <f t="shared" ref="K29:K33" ca="1" si="29">IF(NOT(ISERROR(MATCH(J29,_xlfn.ANCHORARRAY(E40),0))),I42&amp;"Por favor no seleccionar los criterios de impacto",J29)</f>
        <v>0</v>
      </c>
      <c r="L29" s="212"/>
      <c r="M29" s="194"/>
      <c r="N29" s="197"/>
      <c r="O29" s="5">
        <v>2</v>
      </c>
      <c r="P29" s="26"/>
      <c r="Q29" s="28" t="str">
        <f>IF(OR(R29="Preventivo",R29="Detectivo"),"Probabilidad",IF(R29="Correctivo","Impacto",""))</f>
        <v/>
      </c>
      <c r="R29" s="29"/>
      <c r="S29" s="29"/>
      <c r="T29" s="30" t="str">
        <f t="shared" ref="T29:T33" si="30">IF(AND(R29="Preventivo",S29="Automático"),"50%",IF(AND(R29="Preventivo",S29="Manual"),"40%",IF(AND(R29="Detectivo",S29="Automático"),"40%",IF(AND(R29="Detectivo",S29="Manual"),"30%",IF(AND(R29="Correctivo",S29="Automático"),"35%",IF(AND(R29="Correctivo",S29="Manual"),"25%",""))))))</f>
        <v/>
      </c>
      <c r="U29" s="29"/>
      <c r="V29" s="29"/>
      <c r="W29" s="29"/>
      <c r="X29" s="13"/>
      <c r="Y29" s="31" t="str">
        <f t="shared" si="13"/>
        <v/>
      </c>
      <c r="Z29" s="32"/>
      <c r="AA29" s="31" t="str">
        <f t="shared" si="15"/>
        <v/>
      </c>
      <c r="AB29" s="32" t="str">
        <f>IFERROR(IF(AND(Q28="Impacto",Q29="Impacto"),(AB22-(+AB22*T29)),IF(Q29="Impacto",($M$28-(+$M$28*T29)),IF(Q29="Probabilidad",AB28,""))),"")</f>
        <v/>
      </c>
      <c r="AC29" s="33" t="str">
        <f t="shared" ref="AC29:AC30" si="3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34"/>
      <c r="AE29" s="26"/>
      <c r="AF29" s="35"/>
      <c r="AG29" s="36"/>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00"/>
      <c r="B30" s="203"/>
      <c r="C30" s="203"/>
      <c r="D30" s="203"/>
      <c r="E30" s="206"/>
      <c r="F30" s="203"/>
      <c r="G30" s="209"/>
      <c r="H30" s="212"/>
      <c r="I30" s="194"/>
      <c r="J30" s="215"/>
      <c r="K30" s="194">
        <f t="shared" ca="1" si="29"/>
        <v>0</v>
      </c>
      <c r="L30" s="212"/>
      <c r="M30" s="194"/>
      <c r="N30" s="197"/>
      <c r="O30" s="5">
        <v>3</v>
      </c>
      <c r="P30" s="27"/>
      <c r="Q30" s="28" t="str">
        <f>IF(OR(R30="Preventivo",R30="Detectivo"),"Probabilidad",IF(R30="Correctivo","Impacto",""))</f>
        <v/>
      </c>
      <c r="R30" s="29"/>
      <c r="S30" s="29"/>
      <c r="T30" s="30" t="str">
        <f t="shared" si="30"/>
        <v/>
      </c>
      <c r="U30" s="29"/>
      <c r="V30" s="29"/>
      <c r="W30" s="29"/>
      <c r="X30" s="13"/>
      <c r="Y30" s="31" t="str">
        <f t="shared" si="13"/>
        <v/>
      </c>
      <c r="Z30" s="32"/>
      <c r="AA30" s="31" t="str">
        <f t="shared" si="15"/>
        <v/>
      </c>
      <c r="AB30" s="32" t="str">
        <f>IFERROR(IF(AND(Q29="Impacto",Q30="Impacto"),(AB29-(+AB29*T30)),IF(AND(Q29="Probabilidad",Q30="Impacto"),(AB28-(+AB28*T30)),IF(Q30="Probabilidad",AB29,""))),"")</f>
        <v/>
      </c>
      <c r="AC30" s="33" t="str">
        <f t="shared" si="31"/>
        <v/>
      </c>
      <c r="AD30" s="34"/>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00"/>
      <c r="B31" s="203"/>
      <c r="C31" s="203"/>
      <c r="D31" s="203"/>
      <c r="E31" s="206"/>
      <c r="F31" s="203"/>
      <c r="G31" s="209"/>
      <c r="H31" s="212"/>
      <c r="I31" s="194"/>
      <c r="J31" s="215"/>
      <c r="K31" s="194">
        <f t="shared" ca="1" si="29"/>
        <v>0</v>
      </c>
      <c r="L31" s="212"/>
      <c r="M31" s="194"/>
      <c r="N31" s="197"/>
      <c r="O31" s="5">
        <v>4</v>
      </c>
      <c r="P31" s="26"/>
      <c r="Q31" s="28" t="str">
        <f t="shared" ref="Q31:Q33" si="32">IF(OR(R31="Preventivo",R31="Detectivo"),"Probabilidad",IF(R31="Correctivo","Impacto",""))</f>
        <v/>
      </c>
      <c r="R31" s="29"/>
      <c r="S31" s="29"/>
      <c r="T31" s="30" t="str">
        <f t="shared" si="30"/>
        <v/>
      </c>
      <c r="U31" s="29"/>
      <c r="V31" s="29"/>
      <c r="W31" s="29"/>
      <c r="X31" s="13"/>
      <c r="Y31" s="31" t="str">
        <f t="shared" si="13"/>
        <v/>
      </c>
      <c r="Z31" s="32"/>
      <c r="AA31" s="31" t="str">
        <f t="shared" si="15"/>
        <v/>
      </c>
      <c r="AB31" s="32" t="str">
        <f t="shared" ref="AB31:AB33" si="33">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00"/>
      <c r="B32" s="203"/>
      <c r="C32" s="203"/>
      <c r="D32" s="203"/>
      <c r="E32" s="206"/>
      <c r="F32" s="203"/>
      <c r="G32" s="209"/>
      <c r="H32" s="212"/>
      <c r="I32" s="194"/>
      <c r="J32" s="215"/>
      <c r="K32" s="194">
        <f t="shared" ca="1" si="29"/>
        <v>0</v>
      </c>
      <c r="L32" s="212"/>
      <c r="M32" s="194"/>
      <c r="N32" s="197"/>
      <c r="O32" s="5">
        <v>5</v>
      </c>
      <c r="P32" s="26"/>
      <c r="Q32" s="28" t="str">
        <f t="shared" si="32"/>
        <v/>
      </c>
      <c r="R32" s="29"/>
      <c r="S32" s="29"/>
      <c r="T32" s="30" t="str">
        <f t="shared" si="30"/>
        <v/>
      </c>
      <c r="U32" s="29"/>
      <c r="V32" s="29"/>
      <c r="W32" s="29"/>
      <c r="X32" s="13"/>
      <c r="Y32" s="31" t="str">
        <f t="shared" si="13"/>
        <v/>
      </c>
      <c r="Z32" s="32"/>
      <c r="AA32" s="31" t="str">
        <f t="shared" si="15"/>
        <v/>
      </c>
      <c r="AB32" s="32" t="str">
        <f t="shared" si="33"/>
        <v/>
      </c>
      <c r="AC32" s="33" t="str">
        <f t="shared" ref="AC32"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01"/>
      <c r="B33" s="204"/>
      <c r="C33" s="204"/>
      <c r="D33" s="204"/>
      <c r="E33" s="207"/>
      <c r="F33" s="204"/>
      <c r="G33" s="210"/>
      <c r="H33" s="213"/>
      <c r="I33" s="195"/>
      <c r="J33" s="216"/>
      <c r="K33" s="195">
        <f t="shared" ca="1" si="29"/>
        <v>0</v>
      </c>
      <c r="L33" s="213"/>
      <c r="M33" s="195"/>
      <c r="N33" s="198"/>
      <c r="O33" s="5">
        <v>6</v>
      </c>
      <c r="P33" s="26"/>
      <c r="Q33" s="28" t="str">
        <f t="shared" si="32"/>
        <v/>
      </c>
      <c r="R33" s="29"/>
      <c r="S33" s="29"/>
      <c r="T33" s="30" t="str">
        <f t="shared" si="30"/>
        <v/>
      </c>
      <c r="U33" s="29"/>
      <c r="V33" s="29"/>
      <c r="W33" s="29"/>
      <c r="X33" s="13"/>
      <c r="Y33" s="31" t="str">
        <f t="shared" si="13"/>
        <v/>
      </c>
      <c r="Z33" s="32"/>
      <c r="AA33" s="31" t="str">
        <f>IFERROR(IF(AB33="","",IF(AB33&lt;=0.2,"Leve",IF(AB33&lt;=0.4,"Menor",IF(AB33&lt;=0.6,"Moderado",IF(AB33&lt;=0.8,"Mayor","Catastrófico"))))),"")</f>
        <v/>
      </c>
      <c r="AB33" s="32" t="str">
        <f t="shared" si="33"/>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23.2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5">
        <v>1</v>
      </c>
      <c r="P34" s="26"/>
      <c r="Q34" s="28" t="str">
        <f>IF(OR(R34="Preventivo",R34="Detectivo"),"Probabilidad",IF(R34="Correctivo","Impacto",""))</f>
        <v/>
      </c>
      <c r="R34" s="29"/>
      <c r="S34" s="29"/>
      <c r="T34" s="30" t="str">
        <f>IF(AND(R34="Preventivo",S34="Automático"),"50%",IF(AND(R34="Preventivo",S34="Manual"),"40%",IF(AND(R34="Detectivo",S34="Automático"),"40%",IF(AND(R34="Detectivo",S34="Manual"),"30%",IF(AND(R34="Correctivo",S34="Automático"),"35%",IF(AND(R34="Correctivo",S34="Manual"),"25%",""))))))</f>
        <v/>
      </c>
      <c r="U34" s="29"/>
      <c r="V34" s="29"/>
      <c r="W34" s="29"/>
      <c r="X34" s="13" t="str">
        <f>IFERROR(IF(Q34="Probabilidad",(I34-(+I34*T34)),IF(Q34="Impacto",I34,"")),"")</f>
        <v/>
      </c>
      <c r="Y34" s="31" t="str">
        <f>IFERROR(IF(X34="","",IF(X34&lt;=0.2,"Muy Baja",IF(X34&lt;=0.4,"Baja",IF(X34&lt;=0.6,"Media",IF(X34&lt;=0.8,"Alta","Muy Alta"))))),"")</f>
        <v/>
      </c>
      <c r="Z34" s="32" t="str">
        <f>+X34</f>
        <v/>
      </c>
      <c r="AA34" s="31" t="str">
        <f>IFERROR(IF(AB34="","",IF(AB34&lt;=0.2,"Leve",IF(AB34&lt;=0.4,"Menor",IF(AB34&lt;=0.6,"Moderado",IF(AB34&lt;=0.8,"Mayor","Catastrófico"))))),"")</f>
        <v/>
      </c>
      <c r="AB34" s="32" t="str">
        <f>IFERROR(IF(Q34="Impacto",(M34-(+M34*T34)),IF(Q34="Probabilidad",M34,"")),"")</f>
        <v/>
      </c>
      <c r="AC34" s="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34"/>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23.25" customHeight="1" x14ac:dyDescent="0.3">
      <c r="A35" s="200"/>
      <c r="B35" s="203"/>
      <c r="C35" s="203"/>
      <c r="D35" s="203"/>
      <c r="E35" s="206"/>
      <c r="F35" s="203"/>
      <c r="G35" s="209"/>
      <c r="H35" s="212"/>
      <c r="I35" s="194"/>
      <c r="J35" s="215"/>
      <c r="K35" s="194">
        <f t="shared" ref="K35:K39" ca="1" si="35">IF(NOT(ISERROR(MATCH(J35,_xlfn.ANCHORARRAY(E46),0))),I48&amp;"Por favor no seleccionar los criterios de impacto",J35)</f>
        <v>0</v>
      </c>
      <c r="L35" s="212"/>
      <c r="M35" s="194"/>
      <c r="N35" s="197"/>
      <c r="O35" s="5">
        <v>2</v>
      </c>
      <c r="P35" s="26"/>
      <c r="Q35" s="28" t="str">
        <f>IF(OR(R35="Preventivo",R35="Detectivo"),"Probabilidad",IF(R35="Correctivo","Impacto",""))</f>
        <v/>
      </c>
      <c r="R35" s="29"/>
      <c r="S35" s="29"/>
      <c r="T35" s="30" t="str">
        <f t="shared" ref="T35:T39" si="36">IF(AND(R35="Preventivo",S35="Automático"),"50%",IF(AND(R35="Preventivo",S35="Manual"),"40%",IF(AND(R35="Detectivo",S35="Automático"),"40%",IF(AND(R35="Detectivo",S35="Manual"),"30%",IF(AND(R35="Correctivo",S35="Automático"),"35%",IF(AND(R35="Correctivo",S35="Manual"),"25%",""))))))</f>
        <v/>
      </c>
      <c r="U35" s="29"/>
      <c r="V35" s="29"/>
      <c r="W35" s="29"/>
      <c r="X35" s="13" t="str">
        <f>IFERROR(IF(AND(Q34="Probabilidad",Q35="Probabilidad"),(Z34-(+Z34*T35)),IF(Q35="Probabilidad",(I34-(+I34*T35)),IF(Q35="Impacto",Z34,""))),"")</f>
        <v/>
      </c>
      <c r="Y35" s="31" t="str">
        <f t="shared" si="13"/>
        <v/>
      </c>
      <c r="Z35" s="32" t="str">
        <f t="shared" ref="Z35:Z39" si="37">+X35</f>
        <v/>
      </c>
      <c r="AA35" s="31" t="str">
        <f t="shared" si="15"/>
        <v/>
      </c>
      <c r="AB35" s="32" t="str">
        <f>IFERROR(IF(AND(Q34="Impacto",Q35="Impacto"),(AB28-(+AB28*T35)),IF(Q35="Impacto",($M$34-(+$M$34*T35)),IF(Q35="Probabilidad",AB28,""))),"")</f>
        <v/>
      </c>
      <c r="AC35" s="33"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4"/>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3.25" customHeight="1" x14ac:dyDescent="0.3">
      <c r="A36" s="200"/>
      <c r="B36" s="203"/>
      <c r="C36" s="203"/>
      <c r="D36" s="203"/>
      <c r="E36" s="206"/>
      <c r="F36" s="203"/>
      <c r="G36" s="209"/>
      <c r="H36" s="212"/>
      <c r="I36" s="194"/>
      <c r="J36" s="215"/>
      <c r="K36" s="194">
        <f t="shared" ca="1" si="35"/>
        <v>0</v>
      </c>
      <c r="L36" s="212"/>
      <c r="M36" s="194"/>
      <c r="N36" s="197"/>
      <c r="O36" s="5">
        <v>3</v>
      </c>
      <c r="P36" s="27"/>
      <c r="Q36" s="28" t="str">
        <f>IF(OR(R36="Preventivo",R36="Detectivo"),"Probabilidad",IF(R36="Correctivo","Impacto",""))</f>
        <v/>
      </c>
      <c r="R36" s="29"/>
      <c r="S36" s="29"/>
      <c r="T36" s="30" t="str">
        <f t="shared" si="36"/>
        <v/>
      </c>
      <c r="U36" s="29"/>
      <c r="V36" s="29"/>
      <c r="W36" s="29"/>
      <c r="X36" s="13" t="str">
        <f>IFERROR(IF(AND(Q35="Probabilidad",Q36="Probabilidad"),(Z35-(+Z35*T36)),IF(AND(Q35="Impacto",Q36="Probabilidad"),(Z34-(+Z34*T36)),IF(Q36="Impacto",Z35,""))),"")</f>
        <v/>
      </c>
      <c r="Y36" s="31" t="str">
        <f t="shared" si="13"/>
        <v/>
      </c>
      <c r="Z36" s="32" t="str">
        <f t="shared" si="37"/>
        <v/>
      </c>
      <c r="AA36" s="31" t="str">
        <f t="shared" si="15"/>
        <v/>
      </c>
      <c r="AB36" s="32" t="str">
        <f>IFERROR(IF(AND(Q35="Impacto",Q36="Impacto"),(AB35-(+AB35*T36)),IF(AND(Q35="Probabilidad",Q36="Impacto"),(AB34-(+AB34*T36)),IF(Q36="Probabilidad",AB35,""))),"")</f>
        <v/>
      </c>
      <c r="AC36" s="33" t="str">
        <f t="shared" si="38"/>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00"/>
      <c r="B37" s="203"/>
      <c r="C37" s="203"/>
      <c r="D37" s="203"/>
      <c r="E37" s="206"/>
      <c r="F37" s="203"/>
      <c r="G37" s="209"/>
      <c r="H37" s="212"/>
      <c r="I37" s="194"/>
      <c r="J37" s="215"/>
      <c r="K37" s="194">
        <f t="shared" ca="1" si="35"/>
        <v>0</v>
      </c>
      <c r="L37" s="212"/>
      <c r="M37" s="194"/>
      <c r="N37" s="197"/>
      <c r="O37" s="5">
        <v>4</v>
      </c>
      <c r="P37" s="26"/>
      <c r="Q37" s="28" t="str">
        <f t="shared" ref="Q37:Q39" si="39">IF(OR(R37="Preventivo",R37="Detectivo"),"Probabilidad",IF(R37="Correctivo","Impacto",""))</f>
        <v/>
      </c>
      <c r="R37" s="29"/>
      <c r="S37" s="29"/>
      <c r="T37" s="30" t="str">
        <f t="shared" si="36"/>
        <v/>
      </c>
      <c r="U37" s="29"/>
      <c r="V37" s="29"/>
      <c r="W37" s="29"/>
      <c r="X37" s="13" t="str">
        <f t="shared" ref="X37:X39" si="40">IFERROR(IF(AND(Q36="Probabilidad",Q37="Probabilidad"),(Z36-(+Z36*T37)),IF(AND(Q36="Impacto",Q37="Probabilidad"),(Z35-(+Z35*T37)),IF(Q37="Impacto",Z36,""))),"")</f>
        <v/>
      </c>
      <c r="Y37" s="31" t="str">
        <f t="shared" si="13"/>
        <v/>
      </c>
      <c r="Z37" s="32" t="str">
        <f t="shared" si="37"/>
        <v/>
      </c>
      <c r="AA37" s="31" t="str">
        <f t="shared" si="15"/>
        <v/>
      </c>
      <c r="AB37" s="32" t="str">
        <f t="shared" ref="AB37:AB39" si="41">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00"/>
      <c r="B38" s="203"/>
      <c r="C38" s="203"/>
      <c r="D38" s="203"/>
      <c r="E38" s="206"/>
      <c r="F38" s="203"/>
      <c r="G38" s="209"/>
      <c r="H38" s="212"/>
      <c r="I38" s="194"/>
      <c r="J38" s="215"/>
      <c r="K38" s="194">
        <f t="shared" ca="1" si="35"/>
        <v>0</v>
      </c>
      <c r="L38" s="212"/>
      <c r="M38" s="194"/>
      <c r="N38" s="197"/>
      <c r="O38" s="5">
        <v>5</v>
      </c>
      <c r="P38" s="26"/>
      <c r="Q38" s="28" t="str">
        <f t="shared" si="39"/>
        <v/>
      </c>
      <c r="R38" s="29"/>
      <c r="S38" s="29"/>
      <c r="T38" s="30" t="str">
        <f t="shared" si="36"/>
        <v/>
      </c>
      <c r="U38" s="29"/>
      <c r="V38" s="29"/>
      <c r="W38" s="29"/>
      <c r="X38" s="13" t="str">
        <f t="shared" si="40"/>
        <v/>
      </c>
      <c r="Y38" s="31" t="str">
        <f t="shared" si="13"/>
        <v/>
      </c>
      <c r="Z38" s="32" t="str">
        <f t="shared" si="37"/>
        <v/>
      </c>
      <c r="AA38" s="31" t="str">
        <f t="shared" si="15"/>
        <v/>
      </c>
      <c r="AB38" s="32" t="str">
        <f t="shared" si="41"/>
        <v/>
      </c>
      <c r="AC38" s="33"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01"/>
      <c r="B39" s="204"/>
      <c r="C39" s="204"/>
      <c r="D39" s="204"/>
      <c r="E39" s="207"/>
      <c r="F39" s="204"/>
      <c r="G39" s="210"/>
      <c r="H39" s="213"/>
      <c r="I39" s="195"/>
      <c r="J39" s="216"/>
      <c r="K39" s="195">
        <f t="shared" ca="1" si="35"/>
        <v>0</v>
      </c>
      <c r="L39" s="213"/>
      <c r="M39" s="195"/>
      <c r="N39" s="198"/>
      <c r="O39" s="5">
        <v>6</v>
      </c>
      <c r="P39" s="26"/>
      <c r="Q39" s="28" t="str">
        <f t="shared" si="39"/>
        <v/>
      </c>
      <c r="R39" s="29"/>
      <c r="S39" s="29"/>
      <c r="T39" s="30" t="str">
        <f t="shared" si="36"/>
        <v/>
      </c>
      <c r="U39" s="29"/>
      <c r="V39" s="29"/>
      <c r="W39" s="29"/>
      <c r="X39" s="13" t="str">
        <f t="shared" si="40"/>
        <v/>
      </c>
      <c r="Y39" s="31" t="str">
        <f t="shared" si="13"/>
        <v/>
      </c>
      <c r="Z39" s="32" t="str">
        <f t="shared" si="37"/>
        <v/>
      </c>
      <c r="AA39" s="31" t="str">
        <f t="shared" si="15"/>
        <v/>
      </c>
      <c r="AB39" s="32" t="str">
        <f t="shared" si="41"/>
        <v/>
      </c>
      <c r="AC39" s="33" t="str">
        <f t="shared" si="42"/>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23.2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5">
        <v>1</v>
      </c>
      <c r="P40" s="26"/>
      <c r="Q40" s="28" t="str">
        <f>IF(OR(R40="Preventivo",R40="Detectivo"),"Probabilidad",IF(R40="Correctivo","Impacto",""))</f>
        <v/>
      </c>
      <c r="R40" s="29"/>
      <c r="S40" s="29"/>
      <c r="T40" s="30" t="str">
        <f>IF(AND(R40="Preventivo",S40="Automático"),"50%",IF(AND(R40="Preventivo",S40="Manual"),"40%",IF(AND(R40="Detectivo",S40="Automático"),"40%",IF(AND(R40="Detectivo",S40="Manual"),"30%",IF(AND(R40="Correctivo",S40="Automático"),"35%",IF(AND(R40="Correctivo",S40="Manual"),"25%",""))))))</f>
        <v/>
      </c>
      <c r="U40" s="29"/>
      <c r="V40" s="29"/>
      <c r="W40" s="29"/>
      <c r="X40" s="13" t="str">
        <f>IFERROR(IF(Q40="Probabilidad",(I40-(+I40*T40)),IF(Q40="Impacto",I40,"")),"")</f>
        <v/>
      </c>
      <c r="Y40" s="31" t="str">
        <f>IFERROR(IF(X40="","",IF(X40&lt;=0.2,"Muy Baja",IF(X40&lt;=0.4,"Baja",IF(X40&lt;=0.6,"Media",IF(X40&lt;=0.8,"Alta","Muy Alta"))))),"")</f>
        <v/>
      </c>
      <c r="Z40" s="32" t="str">
        <f>+X40</f>
        <v/>
      </c>
      <c r="AA40" s="31" t="str">
        <f>IFERROR(IF(AB40="","",IF(AB40&lt;=0.2,"Leve",IF(AB40&lt;=0.4,"Menor",IF(AB40&lt;=0.6,"Moderado",IF(AB40&lt;=0.8,"Mayor","Catastrófico"))))),"")</f>
        <v/>
      </c>
      <c r="AB40" s="32" t="str">
        <f>IFERROR(IF(Q40="Impacto",(M40-(+M40*T40)),IF(Q40="Probabilidad",M40,"")),"")</f>
        <v/>
      </c>
      <c r="AC40" s="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34"/>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5">
        <v>2</v>
      </c>
      <c r="P41" s="26"/>
      <c r="Q41" s="28" t="str">
        <f>IF(OR(R41="Preventivo",R41="Detectivo"),"Probabilidad",IF(R41="Correctivo","Impacto",""))</f>
        <v/>
      </c>
      <c r="R41" s="29"/>
      <c r="S41" s="29"/>
      <c r="T41" s="30" t="str">
        <f t="shared" ref="T41:T45" si="43">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13"/>
        <v/>
      </c>
      <c r="Z41" s="32" t="str">
        <f t="shared" ref="Z41:Z45" si="44">+X41</f>
        <v/>
      </c>
      <c r="AA41" s="31" t="str">
        <f t="shared" si="15"/>
        <v/>
      </c>
      <c r="AB41" s="32" t="str">
        <f>IFERROR(IF(AND(Q40="Impacto",Q41="Impacto"),(AB34-(+AB34*T41)),IF(Q41="Impacto",($M$40-(+$M$40*T41)),IF(Q41="Probabilidad",AB34,""))),"")</f>
        <v/>
      </c>
      <c r="AC41" s="33" t="str">
        <f t="shared" ref="AC41:AC42" si="4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5">
        <v>3</v>
      </c>
      <c r="P42" s="27"/>
      <c r="Q42" s="28" t="str">
        <f>IF(OR(R42="Preventivo",R42="Detectivo"),"Probabilidad",IF(R42="Correctivo","Impacto",""))</f>
        <v/>
      </c>
      <c r="R42" s="29"/>
      <c r="S42" s="29"/>
      <c r="T42" s="30" t="str">
        <f t="shared" si="43"/>
        <v/>
      </c>
      <c r="U42" s="29"/>
      <c r="V42" s="29"/>
      <c r="W42" s="29"/>
      <c r="X42" s="13" t="str">
        <f>IFERROR(IF(AND(Q41="Probabilidad",Q42="Probabilidad"),(Z41-(+Z41*T42)),IF(AND(Q41="Impacto",Q42="Probabilidad"),(Z40-(+Z40*T42)),IF(Q42="Impacto",Z41,""))),"")</f>
        <v/>
      </c>
      <c r="Y42" s="31" t="str">
        <f t="shared" si="13"/>
        <v/>
      </c>
      <c r="Z42" s="32" t="str">
        <f t="shared" si="44"/>
        <v/>
      </c>
      <c r="AA42" s="31" t="str">
        <f t="shared" si="15"/>
        <v/>
      </c>
      <c r="AB42" s="32" t="str">
        <f>IFERROR(IF(AND(Q41="Impacto",Q42="Impacto"),(AB41-(+AB41*T42)),IF(AND(Q41="Probabilidad",Q42="Impacto"),(AB40-(+AB40*T42)),IF(Q42="Probabilidad",AB41,""))),"")</f>
        <v/>
      </c>
      <c r="AC42" s="33" t="str">
        <f t="shared" si="45"/>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5">
        <v>4</v>
      </c>
      <c r="P43" s="26"/>
      <c r="Q43" s="28" t="str">
        <f t="shared" ref="Q43:Q45" si="46">IF(OR(R43="Preventivo",R43="Detectivo"),"Probabilidad",IF(R43="Correctivo","Impacto",""))</f>
        <v/>
      </c>
      <c r="R43" s="29"/>
      <c r="S43" s="29"/>
      <c r="T43" s="30" t="str">
        <f t="shared" si="43"/>
        <v/>
      </c>
      <c r="U43" s="29"/>
      <c r="V43" s="29"/>
      <c r="W43" s="29"/>
      <c r="X43" s="13" t="str">
        <f t="shared" ref="X43:X45" si="47">IFERROR(IF(AND(Q42="Probabilidad",Q43="Probabilidad"),(Z42-(+Z42*T43)),IF(AND(Q42="Impacto",Q43="Probabilidad"),(Z41-(+Z41*T43)),IF(Q43="Impacto",Z42,""))),"")</f>
        <v/>
      </c>
      <c r="Y43" s="31" t="str">
        <f t="shared" si="13"/>
        <v/>
      </c>
      <c r="Z43" s="32" t="str">
        <f t="shared" si="44"/>
        <v/>
      </c>
      <c r="AA43" s="31" t="str">
        <f t="shared" si="15"/>
        <v/>
      </c>
      <c r="AB43" s="32" t="str">
        <f t="shared" ref="AB43:AB45" si="48">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5">
        <v>5</v>
      </c>
      <c r="P44" s="26"/>
      <c r="Q44" s="28" t="str">
        <f t="shared" si="46"/>
        <v/>
      </c>
      <c r="R44" s="29"/>
      <c r="S44" s="29"/>
      <c r="T44" s="30" t="str">
        <f t="shared" si="43"/>
        <v/>
      </c>
      <c r="U44" s="29"/>
      <c r="V44" s="29"/>
      <c r="W44" s="29"/>
      <c r="X44" s="13" t="str">
        <f t="shared" si="47"/>
        <v/>
      </c>
      <c r="Y44" s="31" t="str">
        <f t="shared" si="13"/>
        <v/>
      </c>
      <c r="Z44" s="32" t="str">
        <f t="shared" si="44"/>
        <v/>
      </c>
      <c r="AA44" s="31" t="str">
        <f t="shared" si="15"/>
        <v/>
      </c>
      <c r="AB44" s="32" t="str">
        <f t="shared" si="48"/>
        <v/>
      </c>
      <c r="AC44" s="33" t="str">
        <f t="shared" ref="AC44:AC45" si="4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5">
        <v>6</v>
      </c>
      <c r="P45" s="26"/>
      <c r="Q45" s="28" t="str">
        <f t="shared" si="46"/>
        <v/>
      </c>
      <c r="R45" s="29"/>
      <c r="S45" s="29"/>
      <c r="T45" s="30" t="str">
        <f t="shared" si="43"/>
        <v/>
      </c>
      <c r="U45" s="29"/>
      <c r="V45" s="29"/>
      <c r="W45" s="29"/>
      <c r="X45" s="13" t="str">
        <f t="shared" si="47"/>
        <v/>
      </c>
      <c r="Y45" s="31" t="str">
        <f t="shared" si="13"/>
        <v/>
      </c>
      <c r="Z45" s="32" t="str">
        <f t="shared" si="44"/>
        <v/>
      </c>
      <c r="AA45" s="31" t="str">
        <f t="shared" si="15"/>
        <v/>
      </c>
      <c r="AB45" s="32" t="str">
        <f t="shared" si="48"/>
        <v/>
      </c>
      <c r="AC45" s="33" t="str">
        <f t="shared" si="49"/>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5">
        <v>2</v>
      </c>
      <c r="P47" s="26"/>
      <c r="Q47" s="28" t="str">
        <f>IF(OR(R47="Preventivo",R47="Detectivo"),"Probabilidad",IF(R47="Correctivo","Impacto",""))</f>
        <v/>
      </c>
      <c r="R47" s="29"/>
      <c r="S47" s="29"/>
      <c r="T47" s="30" t="str">
        <f t="shared" ref="T47:T51" si="50">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13"/>
        <v/>
      </c>
      <c r="Z47" s="32" t="str">
        <f t="shared" ref="Z47:Z51" si="51">+X47</f>
        <v/>
      </c>
      <c r="AA47" s="31" t="str">
        <f t="shared" si="15"/>
        <v/>
      </c>
      <c r="AB47" s="32" t="str">
        <f>IFERROR(IF(AND(Q46="Impacto",Q47="Impacto"),(AB40-(+AB40*T47)),IF(Q47="Impacto",($M$46-(+$M$46*T47)),IF(Q47="Probabilidad",AB40,""))),"")</f>
        <v/>
      </c>
      <c r="AC47" s="33" t="str">
        <f t="shared" ref="AC47:AC48" si="5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5">
        <v>3</v>
      </c>
      <c r="P48" s="27"/>
      <c r="Q48" s="28" t="str">
        <f>IF(OR(R48="Preventivo",R48="Detectivo"),"Probabilidad",IF(R48="Correctivo","Impacto",""))</f>
        <v/>
      </c>
      <c r="R48" s="29"/>
      <c r="S48" s="29"/>
      <c r="T48" s="30" t="str">
        <f t="shared" si="50"/>
        <v/>
      </c>
      <c r="U48" s="29"/>
      <c r="V48" s="29"/>
      <c r="W48" s="29"/>
      <c r="X48" s="13" t="str">
        <f>IFERROR(IF(AND(Q47="Probabilidad",Q48="Probabilidad"),(Z47-(+Z47*T48)),IF(AND(Q47="Impacto",Q48="Probabilidad"),(Z46-(+Z46*T48)),IF(Q48="Impacto",Z47,""))),"")</f>
        <v/>
      </c>
      <c r="Y48" s="31" t="str">
        <f t="shared" si="13"/>
        <v/>
      </c>
      <c r="Z48" s="32" t="str">
        <f t="shared" si="51"/>
        <v/>
      </c>
      <c r="AA48" s="31" t="str">
        <f t="shared" si="15"/>
        <v/>
      </c>
      <c r="AB48" s="32" t="str">
        <f>IFERROR(IF(AND(Q47="Impacto",Q48="Impacto"),(AB47-(+AB47*T48)),IF(AND(Q47="Probabilidad",Q48="Impacto"),(AB46-(+AB46*T48)),IF(Q48="Probabilidad",AB47,""))),"")</f>
        <v/>
      </c>
      <c r="AC48" s="33" t="str">
        <f t="shared" si="52"/>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5">
        <v>4</v>
      </c>
      <c r="P49" s="26"/>
      <c r="Q49" s="28" t="str">
        <f t="shared" ref="Q49:Q51" si="53">IF(OR(R49="Preventivo",R49="Detectivo"),"Probabilidad",IF(R49="Correctivo","Impacto",""))</f>
        <v/>
      </c>
      <c r="R49" s="29"/>
      <c r="S49" s="29"/>
      <c r="T49" s="30" t="str">
        <f t="shared" si="50"/>
        <v/>
      </c>
      <c r="U49" s="29"/>
      <c r="V49" s="29"/>
      <c r="W49" s="29"/>
      <c r="X49" s="13" t="str">
        <f t="shared" ref="X49:X51" si="54">IFERROR(IF(AND(Q48="Probabilidad",Q49="Probabilidad"),(Z48-(+Z48*T49)),IF(AND(Q48="Impacto",Q49="Probabilidad"),(Z47-(+Z47*T49)),IF(Q49="Impacto",Z48,""))),"")</f>
        <v/>
      </c>
      <c r="Y49" s="31" t="str">
        <f t="shared" si="13"/>
        <v/>
      </c>
      <c r="Z49" s="32" t="str">
        <f t="shared" si="51"/>
        <v/>
      </c>
      <c r="AA49" s="31" t="str">
        <f t="shared" si="15"/>
        <v/>
      </c>
      <c r="AB49" s="32" t="str">
        <f t="shared" ref="AB49:AB51" si="55">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5">
        <v>5</v>
      </c>
      <c r="P50" s="26"/>
      <c r="Q50" s="28" t="str">
        <f t="shared" si="53"/>
        <v/>
      </c>
      <c r="R50" s="29"/>
      <c r="S50" s="29"/>
      <c r="T50" s="30" t="str">
        <f t="shared" si="50"/>
        <v/>
      </c>
      <c r="U50" s="29"/>
      <c r="V50" s="29"/>
      <c r="W50" s="29"/>
      <c r="X50" s="13" t="str">
        <f t="shared" si="54"/>
        <v/>
      </c>
      <c r="Y50" s="31" t="str">
        <f t="shared" si="13"/>
        <v/>
      </c>
      <c r="Z50" s="32" t="str">
        <f t="shared" si="51"/>
        <v/>
      </c>
      <c r="AA50" s="31" t="str">
        <f t="shared" si="15"/>
        <v/>
      </c>
      <c r="AB50" s="32" t="str">
        <f t="shared" si="55"/>
        <v/>
      </c>
      <c r="AC50" s="33" t="str">
        <f t="shared" ref="AC50:AC51" si="56">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5">
        <v>6</v>
      </c>
      <c r="P51" s="26"/>
      <c r="Q51" s="28" t="str">
        <f t="shared" si="53"/>
        <v/>
      </c>
      <c r="R51" s="29"/>
      <c r="S51" s="29"/>
      <c r="T51" s="30" t="str">
        <f t="shared" si="50"/>
        <v/>
      </c>
      <c r="U51" s="29"/>
      <c r="V51" s="29"/>
      <c r="W51" s="29"/>
      <c r="X51" s="13" t="str">
        <f t="shared" si="54"/>
        <v/>
      </c>
      <c r="Y51" s="31" t="str">
        <f t="shared" si="13"/>
        <v/>
      </c>
      <c r="Z51" s="32" t="str">
        <f t="shared" si="51"/>
        <v/>
      </c>
      <c r="AA51" s="31" t="str">
        <f t="shared" si="15"/>
        <v/>
      </c>
      <c r="AB51" s="32" t="str">
        <f t="shared" si="55"/>
        <v/>
      </c>
      <c r="AC51" s="33" t="str">
        <f t="shared" si="56"/>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5">
        <v>2</v>
      </c>
      <c r="P53" s="26"/>
      <c r="Q53" s="28" t="str">
        <f>IF(OR(R53="Preventivo",R53="Detectivo"),"Probabilidad",IF(R53="Correctivo","Impacto",""))</f>
        <v/>
      </c>
      <c r="R53" s="29"/>
      <c r="S53" s="29"/>
      <c r="T53" s="30" t="str">
        <f t="shared" ref="T53:T57" si="57">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13"/>
        <v/>
      </c>
      <c r="Z53" s="32" t="str">
        <f t="shared" ref="Z53:Z57" si="58">+X53</f>
        <v/>
      </c>
      <c r="AA53" s="31" t="str">
        <f t="shared" si="15"/>
        <v/>
      </c>
      <c r="AB53" s="32" t="str">
        <f>IFERROR(IF(AND(Q52="Impacto",Q53="Impacto"),(AB46-(+AB46*T53)),IF(Q53="Impacto",($M$52-(+$M$52*T53)),IF(Q53="Probabilidad",AB46,""))),"")</f>
        <v/>
      </c>
      <c r="AC53" s="33" t="str">
        <f t="shared" ref="AC53:AC54" si="5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5">
        <v>3</v>
      </c>
      <c r="P54" s="27"/>
      <c r="Q54" s="28" t="str">
        <f>IF(OR(R54="Preventivo",R54="Detectivo"),"Probabilidad",IF(R54="Correctivo","Impacto",""))</f>
        <v/>
      </c>
      <c r="R54" s="29"/>
      <c r="S54" s="29"/>
      <c r="T54" s="30" t="str">
        <f t="shared" si="57"/>
        <v/>
      </c>
      <c r="U54" s="29"/>
      <c r="V54" s="29"/>
      <c r="W54" s="29"/>
      <c r="X54" s="13" t="str">
        <f>IFERROR(IF(AND(Q53="Probabilidad",Q54="Probabilidad"),(Z53-(+Z53*T54)),IF(AND(Q53="Impacto",Q54="Probabilidad"),(Z52-(+Z52*T54)),IF(Q54="Impacto",Z53,""))),"")</f>
        <v/>
      </c>
      <c r="Y54" s="31" t="str">
        <f t="shared" si="13"/>
        <v/>
      </c>
      <c r="Z54" s="32" t="str">
        <f t="shared" si="58"/>
        <v/>
      </c>
      <c r="AA54" s="31" t="str">
        <f t="shared" si="15"/>
        <v/>
      </c>
      <c r="AB54" s="32" t="str">
        <f>IFERROR(IF(AND(Q53="Impacto",Q54="Impacto"),(AB53-(+AB53*T54)),IF(AND(Q53="Probabilidad",Q54="Impacto"),(AB52-(+AB52*T54)),IF(Q54="Probabilidad",AB53,""))),"")</f>
        <v/>
      </c>
      <c r="AC54" s="33" t="str">
        <f t="shared" si="59"/>
        <v/>
      </c>
      <c r="AD54" s="34"/>
      <c r="AE54" s="35"/>
      <c r="AF54" s="25"/>
      <c r="AG54" s="36"/>
      <c r="AH54" s="36"/>
      <c r="AI54" s="35"/>
      <c r="AJ54" s="25"/>
    </row>
    <row r="55" spans="1:68" ht="23.2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5">
        <v>4</v>
      </c>
      <c r="P55" s="26"/>
      <c r="Q55" s="28" t="str">
        <f t="shared" ref="Q55:Q57" si="60">IF(OR(R55="Preventivo",R55="Detectivo"),"Probabilidad",IF(R55="Correctivo","Impacto",""))</f>
        <v/>
      </c>
      <c r="R55" s="29"/>
      <c r="S55" s="29"/>
      <c r="T55" s="30" t="str">
        <f t="shared" si="57"/>
        <v/>
      </c>
      <c r="U55" s="29"/>
      <c r="V55" s="29"/>
      <c r="W55" s="29"/>
      <c r="X55" s="13" t="str">
        <f t="shared" ref="X55:X57" si="61">IFERROR(IF(AND(Q54="Probabilidad",Q55="Probabilidad"),(Z54-(+Z54*T55)),IF(AND(Q54="Impacto",Q55="Probabilidad"),(Z53-(+Z53*T55)),IF(Q55="Impacto",Z54,""))),"")</f>
        <v/>
      </c>
      <c r="Y55" s="31" t="str">
        <f t="shared" si="13"/>
        <v/>
      </c>
      <c r="Z55" s="32" t="str">
        <f t="shared" si="58"/>
        <v/>
      </c>
      <c r="AA55" s="31" t="str">
        <f t="shared" si="15"/>
        <v/>
      </c>
      <c r="AB55" s="32" t="str">
        <f t="shared" ref="AB55:AB57" si="62">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5">
        <v>5</v>
      </c>
      <c r="P56" s="26"/>
      <c r="Q56" s="28" t="str">
        <f t="shared" si="60"/>
        <v/>
      </c>
      <c r="R56" s="29"/>
      <c r="S56" s="29"/>
      <c r="T56" s="30" t="str">
        <f t="shared" si="57"/>
        <v/>
      </c>
      <c r="U56" s="29"/>
      <c r="V56" s="29"/>
      <c r="W56" s="29"/>
      <c r="X56" s="13" t="str">
        <f t="shared" si="61"/>
        <v/>
      </c>
      <c r="Y56" s="31" t="str">
        <f t="shared" si="13"/>
        <v/>
      </c>
      <c r="Z56" s="32" t="str">
        <f t="shared" si="58"/>
        <v/>
      </c>
      <c r="AA56" s="31" t="str">
        <f t="shared" si="15"/>
        <v/>
      </c>
      <c r="AB56" s="32" t="str">
        <f t="shared" si="62"/>
        <v/>
      </c>
      <c r="AC56" s="33" t="str">
        <f t="shared" ref="AC56:AC57" si="63">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5">
        <v>6</v>
      </c>
      <c r="P57" s="26"/>
      <c r="Q57" s="28" t="str">
        <f t="shared" si="60"/>
        <v/>
      </c>
      <c r="R57" s="29"/>
      <c r="S57" s="29"/>
      <c r="T57" s="30" t="str">
        <f t="shared" si="57"/>
        <v/>
      </c>
      <c r="U57" s="29"/>
      <c r="V57" s="29"/>
      <c r="W57" s="29"/>
      <c r="X57" s="13" t="str">
        <f t="shared" si="61"/>
        <v/>
      </c>
      <c r="Y57" s="31" t="str">
        <f t="shared" si="13"/>
        <v/>
      </c>
      <c r="Z57" s="32" t="str">
        <f t="shared" si="58"/>
        <v/>
      </c>
      <c r="AA57" s="31" t="str">
        <f t="shared" si="15"/>
        <v/>
      </c>
      <c r="AB57" s="32" t="str">
        <f t="shared" si="62"/>
        <v/>
      </c>
      <c r="AC57" s="33" t="str">
        <f t="shared" si="63"/>
        <v/>
      </c>
      <c r="AD57" s="34"/>
      <c r="AE57" s="35"/>
      <c r="AF57" s="25"/>
      <c r="AG57" s="36"/>
      <c r="AH57" s="36"/>
      <c r="AI57" s="35"/>
      <c r="AJ57" s="25"/>
    </row>
    <row r="58" spans="1:68" ht="49.5" customHeight="1" x14ac:dyDescent="0.3">
      <c r="A58" s="5"/>
      <c r="B58" s="190" t="s">
        <v>129</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row>
    <row r="60" spans="1:68" x14ac:dyDescent="0.3">
      <c r="A60" s="1"/>
      <c r="B60" s="14" t="s">
        <v>141</v>
      </c>
      <c r="C60" s="1"/>
      <c r="D60" s="1"/>
      <c r="F60" s="1"/>
    </row>
  </sheetData>
  <dataConsolidate/>
  <mergeCells count="157">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M22:M27"/>
    <mergeCell ref="N22:N27"/>
    <mergeCell ref="M28:M33"/>
    <mergeCell ref="N28:N33"/>
    <mergeCell ref="J34:J39"/>
    <mergeCell ref="K34:K39"/>
    <mergeCell ref="L34:L39"/>
    <mergeCell ref="A22:A27"/>
    <mergeCell ref="B22:B27"/>
    <mergeCell ref="C22:C27"/>
    <mergeCell ref="A28:A33"/>
    <mergeCell ref="B28:B33"/>
    <mergeCell ref="C28:C33"/>
    <mergeCell ref="D28:D33"/>
    <mergeCell ref="E28:E33"/>
    <mergeCell ref="F28:F33"/>
    <mergeCell ref="D22:D27"/>
    <mergeCell ref="E22:E27"/>
    <mergeCell ref="J28:J33"/>
    <mergeCell ref="K28:K33"/>
    <mergeCell ref="L28:L33"/>
    <mergeCell ref="F22:F27"/>
    <mergeCell ref="G22:G27"/>
    <mergeCell ref="H22:H27"/>
    <mergeCell ref="I22:I27"/>
    <mergeCell ref="J22:J27"/>
    <mergeCell ref="G28:G33"/>
    <mergeCell ref="H28:H33"/>
    <mergeCell ref="I28:I33"/>
    <mergeCell ref="K22:K27"/>
    <mergeCell ref="L22:L27"/>
    <mergeCell ref="A40:A45"/>
    <mergeCell ref="B40:B45"/>
    <mergeCell ref="C40:C45"/>
    <mergeCell ref="D40:D45"/>
    <mergeCell ref="E40:E45"/>
    <mergeCell ref="A34:A39"/>
    <mergeCell ref="B34:B39"/>
    <mergeCell ref="C34:C39"/>
    <mergeCell ref="D34:D39"/>
    <mergeCell ref="E34:E39"/>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K46:K51"/>
    <mergeCell ref="L46:L51"/>
    <mergeCell ref="A46:A51"/>
    <mergeCell ref="B46:B51"/>
    <mergeCell ref="C46:C51"/>
    <mergeCell ref="D46:D51"/>
    <mergeCell ref="E46:E51"/>
    <mergeCell ref="F46:F51"/>
    <mergeCell ref="G46:G51"/>
    <mergeCell ref="H46:H51"/>
    <mergeCell ref="I46:I51"/>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s>
  <conditionalFormatting sqref="L16 L22 L28 L34 L40 L46 L52">
    <cfRule type="cellIs" dxfId="213" priority="402" operator="equal">
      <formula>"Catastrófico"</formula>
    </cfRule>
    <cfRule type="cellIs" dxfId="212" priority="403" operator="equal">
      <formula>"Mayor"</formula>
    </cfRule>
    <cfRule type="cellIs" dxfId="211" priority="404" operator="equal">
      <formula>"Moderado"</formula>
    </cfRule>
    <cfRule type="cellIs" dxfId="210" priority="405" operator="equal">
      <formula>"Menor"</formula>
    </cfRule>
    <cfRule type="cellIs" dxfId="209" priority="406" operator="equal">
      <formula>"Leve"</formula>
    </cfRule>
  </conditionalFormatting>
  <conditionalFormatting sqref="N16">
    <cfRule type="cellIs" dxfId="208" priority="272" operator="equal">
      <formula>"Extremo"</formula>
    </cfRule>
    <cfRule type="cellIs" dxfId="207" priority="273" operator="equal">
      <formula>"Alto"</formula>
    </cfRule>
    <cfRule type="cellIs" dxfId="206" priority="274" operator="equal">
      <formula>"Moderado"</formula>
    </cfRule>
    <cfRule type="cellIs" dxfId="205" priority="275" operator="equal">
      <formula>"Bajo"</formula>
    </cfRule>
  </conditionalFormatting>
  <conditionalFormatting sqref="Y17:Y21">
    <cfRule type="cellIs" dxfId="204" priority="267" operator="equal">
      <formula>"Muy Alta"</formula>
    </cfRule>
    <cfRule type="cellIs" dxfId="203" priority="268" operator="equal">
      <formula>"Alta"</formula>
    </cfRule>
    <cfRule type="cellIs" dxfId="202" priority="269" operator="equal">
      <formula>"Media"</formula>
    </cfRule>
    <cfRule type="cellIs" dxfId="201" priority="270" operator="equal">
      <formula>"Baja"</formula>
    </cfRule>
    <cfRule type="cellIs" dxfId="200" priority="271" operator="equal">
      <formula>"Muy Baja"</formula>
    </cfRule>
  </conditionalFormatting>
  <conditionalFormatting sqref="AA17:AA21">
    <cfRule type="cellIs" dxfId="199" priority="262" operator="equal">
      <formula>"Catastrófico"</formula>
    </cfRule>
    <cfRule type="cellIs" dxfId="198" priority="263" operator="equal">
      <formula>"Mayor"</formula>
    </cfRule>
    <cfRule type="cellIs" dxfId="197" priority="264" operator="equal">
      <formula>"Moderado"</formula>
    </cfRule>
    <cfRule type="cellIs" dxfId="196" priority="265" operator="equal">
      <formula>"Menor"</formula>
    </cfRule>
    <cfRule type="cellIs" dxfId="195" priority="266" operator="equal">
      <formula>"Leve"</formula>
    </cfRule>
  </conditionalFormatting>
  <conditionalFormatting sqref="AC17:AC21">
    <cfRule type="cellIs" dxfId="194" priority="258" operator="equal">
      <formula>"Extremo"</formula>
    </cfRule>
    <cfRule type="cellIs" dxfId="193" priority="259" operator="equal">
      <formula>"Alto"</formula>
    </cfRule>
    <cfRule type="cellIs" dxfId="192" priority="260" operator="equal">
      <formula>"Moderado"</formula>
    </cfRule>
    <cfRule type="cellIs" dxfId="191" priority="261" operator="equal">
      <formula>"Bajo"</formula>
    </cfRule>
  </conditionalFormatting>
  <conditionalFormatting sqref="N22">
    <cfRule type="cellIs" dxfId="190" priority="244" operator="equal">
      <formula>"Extremo"</formula>
    </cfRule>
    <cfRule type="cellIs" dxfId="189" priority="245" operator="equal">
      <formula>"Alto"</formula>
    </cfRule>
    <cfRule type="cellIs" dxfId="188" priority="246" operator="equal">
      <formula>"Moderado"</formula>
    </cfRule>
    <cfRule type="cellIs" dxfId="187" priority="247" operator="equal">
      <formula>"Bajo"</formula>
    </cfRule>
  </conditionalFormatting>
  <conditionalFormatting sqref="Y22:Y27">
    <cfRule type="cellIs" dxfId="186" priority="239" operator="equal">
      <formula>"Muy Alta"</formula>
    </cfRule>
    <cfRule type="cellIs" dxfId="185" priority="240" operator="equal">
      <formula>"Alta"</formula>
    </cfRule>
    <cfRule type="cellIs" dxfId="184" priority="241" operator="equal">
      <formula>"Media"</formula>
    </cfRule>
    <cfRule type="cellIs" dxfId="183" priority="242" operator="equal">
      <formula>"Baja"</formula>
    </cfRule>
    <cfRule type="cellIs" dxfId="182" priority="243" operator="equal">
      <formula>"Muy Baja"</formula>
    </cfRule>
  </conditionalFormatting>
  <conditionalFormatting sqref="AA22:AA27">
    <cfRule type="cellIs" dxfId="181" priority="234" operator="equal">
      <formula>"Catastrófico"</formula>
    </cfRule>
    <cfRule type="cellIs" dxfId="180" priority="235" operator="equal">
      <formula>"Mayor"</formula>
    </cfRule>
    <cfRule type="cellIs" dxfId="179" priority="236" operator="equal">
      <formula>"Moderado"</formula>
    </cfRule>
    <cfRule type="cellIs" dxfId="178" priority="237" operator="equal">
      <formula>"Menor"</formula>
    </cfRule>
    <cfRule type="cellIs" dxfId="177" priority="238" operator="equal">
      <formula>"Leve"</formula>
    </cfRule>
  </conditionalFormatting>
  <conditionalFormatting sqref="AC22:AC27">
    <cfRule type="cellIs" dxfId="176" priority="230" operator="equal">
      <formula>"Extremo"</formula>
    </cfRule>
    <cfRule type="cellIs" dxfId="175" priority="231" operator="equal">
      <formula>"Alto"</formula>
    </cfRule>
    <cfRule type="cellIs" dxfId="174" priority="232" operator="equal">
      <formula>"Moderado"</formula>
    </cfRule>
    <cfRule type="cellIs" dxfId="173" priority="233" operator="equal">
      <formula>"Bajo"</formula>
    </cfRule>
  </conditionalFormatting>
  <conditionalFormatting sqref="N28">
    <cfRule type="cellIs" dxfId="172" priority="216" operator="equal">
      <formula>"Extremo"</formula>
    </cfRule>
    <cfRule type="cellIs" dxfId="171" priority="217" operator="equal">
      <formula>"Alto"</formula>
    </cfRule>
    <cfRule type="cellIs" dxfId="170" priority="218" operator="equal">
      <formula>"Moderado"</formula>
    </cfRule>
    <cfRule type="cellIs" dxfId="169" priority="219" operator="equal">
      <formula>"Bajo"</formula>
    </cfRule>
  </conditionalFormatting>
  <conditionalFormatting sqref="Y28:Y33">
    <cfRule type="cellIs" dxfId="168" priority="211" operator="equal">
      <formula>"Muy Alta"</formula>
    </cfRule>
    <cfRule type="cellIs" dxfId="167" priority="212" operator="equal">
      <formula>"Alta"</formula>
    </cfRule>
    <cfRule type="cellIs" dxfId="166" priority="213" operator="equal">
      <formula>"Media"</formula>
    </cfRule>
    <cfRule type="cellIs" dxfId="165" priority="214" operator="equal">
      <formula>"Baja"</formula>
    </cfRule>
    <cfRule type="cellIs" dxfId="164" priority="215" operator="equal">
      <formula>"Muy Baja"</formula>
    </cfRule>
  </conditionalFormatting>
  <conditionalFormatting sqref="AA28:AA33">
    <cfRule type="cellIs" dxfId="163" priority="206" operator="equal">
      <formula>"Catastrófico"</formula>
    </cfRule>
    <cfRule type="cellIs" dxfId="162" priority="207" operator="equal">
      <formula>"Mayor"</formula>
    </cfRule>
    <cfRule type="cellIs" dxfId="161" priority="208" operator="equal">
      <formula>"Moderado"</formula>
    </cfRule>
    <cfRule type="cellIs" dxfId="160" priority="209" operator="equal">
      <formula>"Menor"</formula>
    </cfRule>
    <cfRule type="cellIs" dxfId="159" priority="210" operator="equal">
      <formula>"Leve"</formula>
    </cfRule>
  </conditionalFormatting>
  <conditionalFormatting sqref="AC28:AC33">
    <cfRule type="cellIs" dxfId="158" priority="202" operator="equal">
      <formula>"Extremo"</formula>
    </cfRule>
    <cfRule type="cellIs" dxfId="157" priority="203" operator="equal">
      <formula>"Alto"</formula>
    </cfRule>
    <cfRule type="cellIs" dxfId="156" priority="204" operator="equal">
      <formula>"Moderado"</formula>
    </cfRule>
    <cfRule type="cellIs" dxfId="155" priority="205" operator="equal">
      <formula>"Bajo"</formula>
    </cfRule>
  </conditionalFormatting>
  <conditionalFormatting sqref="N34">
    <cfRule type="cellIs" dxfId="154" priority="188" operator="equal">
      <formula>"Extremo"</formula>
    </cfRule>
    <cfRule type="cellIs" dxfId="153" priority="189" operator="equal">
      <formula>"Alto"</formula>
    </cfRule>
    <cfRule type="cellIs" dxfId="152" priority="190" operator="equal">
      <formula>"Moderado"</formula>
    </cfRule>
    <cfRule type="cellIs" dxfId="151" priority="191" operator="equal">
      <formula>"Bajo"</formula>
    </cfRule>
  </conditionalFormatting>
  <conditionalFormatting sqref="Y34:Y39">
    <cfRule type="cellIs" dxfId="150" priority="183" operator="equal">
      <formula>"Muy Alta"</formula>
    </cfRule>
    <cfRule type="cellIs" dxfId="149" priority="184" operator="equal">
      <formula>"Alta"</formula>
    </cfRule>
    <cfRule type="cellIs" dxfId="148" priority="185" operator="equal">
      <formula>"Media"</formula>
    </cfRule>
    <cfRule type="cellIs" dxfId="147" priority="186" operator="equal">
      <formula>"Baja"</formula>
    </cfRule>
    <cfRule type="cellIs" dxfId="146" priority="187" operator="equal">
      <formula>"Muy Baja"</formula>
    </cfRule>
  </conditionalFormatting>
  <conditionalFormatting sqref="AA34:AA39">
    <cfRule type="cellIs" dxfId="145" priority="178" operator="equal">
      <formula>"Catastrófico"</formula>
    </cfRule>
    <cfRule type="cellIs" dxfId="144" priority="179" operator="equal">
      <formula>"Mayor"</formula>
    </cfRule>
    <cfRule type="cellIs" dxfId="143" priority="180" operator="equal">
      <formula>"Moderado"</formula>
    </cfRule>
    <cfRule type="cellIs" dxfId="142" priority="181" operator="equal">
      <formula>"Menor"</formula>
    </cfRule>
    <cfRule type="cellIs" dxfId="141" priority="182" operator="equal">
      <formula>"Leve"</formula>
    </cfRule>
  </conditionalFormatting>
  <conditionalFormatting sqref="AC34:AC39">
    <cfRule type="cellIs" dxfId="140" priority="174" operator="equal">
      <formula>"Extremo"</formula>
    </cfRule>
    <cfRule type="cellIs" dxfId="139" priority="175" operator="equal">
      <formula>"Alto"</formula>
    </cfRule>
    <cfRule type="cellIs" dxfId="138" priority="176" operator="equal">
      <formula>"Moderado"</formula>
    </cfRule>
    <cfRule type="cellIs" dxfId="137" priority="177" operator="equal">
      <formula>"Bajo"</formula>
    </cfRule>
  </conditionalFormatting>
  <conditionalFormatting sqref="N40">
    <cfRule type="cellIs" dxfId="136" priority="160" operator="equal">
      <formula>"Extremo"</formula>
    </cfRule>
    <cfRule type="cellIs" dxfId="135" priority="161" operator="equal">
      <formula>"Alto"</formula>
    </cfRule>
    <cfRule type="cellIs" dxfId="134" priority="162" operator="equal">
      <formula>"Moderado"</formula>
    </cfRule>
    <cfRule type="cellIs" dxfId="133" priority="163" operator="equal">
      <formula>"Bajo"</formula>
    </cfRule>
  </conditionalFormatting>
  <conditionalFormatting sqref="Y40:Y45">
    <cfRule type="cellIs" dxfId="132" priority="155" operator="equal">
      <formula>"Muy Alta"</formula>
    </cfRule>
    <cfRule type="cellIs" dxfId="131" priority="156" operator="equal">
      <formula>"Alta"</formula>
    </cfRule>
    <cfRule type="cellIs" dxfId="130" priority="157" operator="equal">
      <formula>"Media"</formula>
    </cfRule>
    <cfRule type="cellIs" dxfId="129" priority="158" operator="equal">
      <formula>"Baja"</formula>
    </cfRule>
    <cfRule type="cellIs" dxfId="128" priority="159" operator="equal">
      <formula>"Muy Baja"</formula>
    </cfRule>
  </conditionalFormatting>
  <conditionalFormatting sqref="AA40:AA45">
    <cfRule type="cellIs" dxfId="127" priority="150" operator="equal">
      <formula>"Catastrófico"</formula>
    </cfRule>
    <cfRule type="cellIs" dxfId="126" priority="151" operator="equal">
      <formula>"Mayor"</formula>
    </cfRule>
    <cfRule type="cellIs" dxfId="125" priority="152" operator="equal">
      <formula>"Moderado"</formula>
    </cfRule>
    <cfRule type="cellIs" dxfId="124" priority="153" operator="equal">
      <formula>"Menor"</formula>
    </cfRule>
    <cfRule type="cellIs" dxfId="123" priority="154" operator="equal">
      <formula>"Leve"</formula>
    </cfRule>
  </conditionalFormatting>
  <conditionalFormatting sqref="AC40:AC45">
    <cfRule type="cellIs" dxfId="122" priority="146" operator="equal">
      <formula>"Extremo"</formula>
    </cfRule>
    <cfRule type="cellIs" dxfId="121" priority="147" operator="equal">
      <formula>"Alto"</formula>
    </cfRule>
    <cfRule type="cellIs" dxfId="120" priority="148" operator="equal">
      <formula>"Moderado"</formula>
    </cfRule>
    <cfRule type="cellIs" dxfId="119" priority="149" operator="equal">
      <formula>"Bajo"</formula>
    </cfRule>
  </conditionalFormatting>
  <conditionalFormatting sqref="N46">
    <cfRule type="cellIs" dxfId="118" priority="132" operator="equal">
      <formula>"Extremo"</formula>
    </cfRule>
    <cfRule type="cellIs" dxfId="117" priority="133" operator="equal">
      <formula>"Alto"</formula>
    </cfRule>
    <cfRule type="cellIs" dxfId="116" priority="134" operator="equal">
      <formula>"Moderado"</formula>
    </cfRule>
    <cfRule type="cellIs" dxfId="115" priority="135" operator="equal">
      <formula>"Bajo"</formula>
    </cfRule>
  </conditionalFormatting>
  <conditionalFormatting sqref="Y46:Y51">
    <cfRule type="cellIs" dxfId="114" priority="127" operator="equal">
      <formula>"Muy Alta"</formula>
    </cfRule>
    <cfRule type="cellIs" dxfId="113" priority="128" operator="equal">
      <formula>"Alta"</formula>
    </cfRule>
    <cfRule type="cellIs" dxfId="112" priority="129" operator="equal">
      <formula>"Media"</formula>
    </cfRule>
    <cfRule type="cellIs" dxfId="111" priority="130" operator="equal">
      <formula>"Baja"</formula>
    </cfRule>
    <cfRule type="cellIs" dxfId="110" priority="131" operator="equal">
      <formula>"Muy Baja"</formula>
    </cfRule>
  </conditionalFormatting>
  <conditionalFormatting sqref="AA46:AA51">
    <cfRule type="cellIs" dxfId="109" priority="122" operator="equal">
      <formula>"Catastrófico"</formula>
    </cfRule>
    <cfRule type="cellIs" dxfId="108" priority="123" operator="equal">
      <formula>"Mayor"</formula>
    </cfRule>
    <cfRule type="cellIs" dxfId="107" priority="124" operator="equal">
      <formula>"Moderado"</formula>
    </cfRule>
    <cfRule type="cellIs" dxfId="106" priority="125" operator="equal">
      <formula>"Menor"</formula>
    </cfRule>
    <cfRule type="cellIs" dxfId="105" priority="126" operator="equal">
      <formula>"Leve"</formula>
    </cfRule>
  </conditionalFormatting>
  <conditionalFormatting sqref="AC46:AC51">
    <cfRule type="cellIs" dxfId="104" priority="118" operator="equal">
      <formula>"Extremo"</formula>
    </cfRule>
    <cfRule type="cellIs" dxfId="103" priority="119" operator="equal">
      <formula>"Alto"</formula>
    </cfRule>
    <cfRule type="cellIs" dxfId="102" priority="120" operator="equal">
      <formula>"Moderado"</formula>
    </cfRule>
    <cfRule type="cellIs" dxfId="101" priority="121" operator="equal">
      <formula>"Bajo"</formula>
    </cfRule>
  </conditionalFormatting>
  <conditionalFormatting sqref="N52">
    <cfRule type="cellIs" dxfId="100" priority="104" operator="equal">
      <formula>"Extremo"</formula>
    </cfRule>
    <cfRule type="cellIs" dxfId="99" priority="105" operator="equal">
      <formula>"Alto"</formula>
    </cfRule>
    <cfRule type="cellIs" dxfId="98" priority="106" operator="equal">
      <formula>"Moderado"</formula>
    </cfRule>
    <cfRule type="cellIs" dxfId="97" priority="107" operator="equal">
      <formula>"Bajo"</formula>
    </cfRule>
  </conditionalFormatting>
  <conditionalFormatting sqref="Y52:Y57">
    <cfRule type="cellIs" dxfId="96" priority="99" operator="equal">
      <formula>"Muy Alta"</formula>
    </cfRule>
    <cfRule type="cellIs" dxfId="95" priority="100" operator="equal">
      <formula>"Alta"</formula>
    </cfRule>
    <cfRule type="cellIs" dxfId="94" priority="101" operator="equal">
      <formula>"Media"</formula>
    </cfRule>
    <cfRule type="cellIs" dxfId="93" priority="102" operator="equal">
      <formula>"Baja"</formula>
    </cfRule>
    <cfRule type="cellIs" dxfId="92" priority="103" operator="equal">
      <formula>"Muy Baja"</formula>
    </cfRule>
  </conditionalFormatting>
  <conditionalFormatting sqref="AA52:AA57">
    <cfRule type="cellIs" dxfId="91" priority="94" operator="equal">
      <formula>"Catastrófico"</formula>
    </cfRule>
    <cfRule type="cellIs" dxfId="90" priority="95" operator="equal">
      <formula>"Mayor"</formula>
    </cfRule>
    <cfRule type="cellIs" dxfId="89" priority="96" operator="equal">
      <formula>"Moderado"</formula>
    </cfRule>
    <cfRule type="cellIs" dxfId="88" priority="97" operator="equal">
      <formula>"Menor"</formula>
    </cfRule>
    <cfRule type="cellIs" dxfId="87" priority="98" operator="equal">
      <formula>"Leve"</formula>
    </cfRule>
  </conditionalFormatting>
  <conditionalFormatting sqref="AC52:AC57">
    <cfRule type="cellIs" dxfId="86" priority="90" operator="equal">
      <formula>"Extremo"</formula>
    </cfRule>
    <cfRule type="cellIs" dxfId="85" priority="91" operator="equal">
      <formula>"Alto"</formula>
    </cfRule>
    <cfRule type="cellIs" dxfId="84" priority="92" operator="equal">
      <formula>"Moderado"</formula>
    </cfRule>
    <cfRule type="cellIs" dxfId="83" priority="93" operator="equal">
      <formula>"Bajo"</formula>
    </cfRule>
  </conditionalFormatting>
  <conditionalFormatting sqref="K16:K57">
    <cfRule type="containsText" dxfId="82" priority="89" operator="containsText" text="❌">
      <formula>NOT(ISERROR(SEARCH("❌",K16)))</formula>
    </cfRule>
  </conditionalFormatting>
  <conditionalFormatting sqref="H16">
    <cfRule type="cellIs" dxfId="81" priority="74" operator="equal">
      <formula>"Muy Alta"</formula>
    </cfRule>
    <cfRule type="cellIs" dxfId="80" priority="75" operator="equal">
      <formula>"Alta"</formula>
    </cfRule>
    <cfRule type="cellIs" dxfId="79" priority="76" operator="equal">
      <formula>"Media"</formula>
    </cfRule>
    <cfRule type="cellIs" dxfId="78" priority="77" operator="equal">
      <formula>"Baja"</formula>
    </cfRule>
    <cfRule type="cellIs" dxfId="77" priority="78" operator="equal">
      <formula>"Muy Baja"</formula>
    </cfRule>
  </conditionalFormatting>
  <conditionalFormatting sqref="H22">
    <cfRule type="cellIs" dxfId="76" priority="69" operator="equal">
      <formula>"Muy Alta"</formula>
    </cfRule>
    <cfRule type="cellIs" dxfId="75" priority="70" operator="equal">
      <formula>"Alta"</formula>
    </cfRule>
    <cfRule type="cellIs" dxfId="74" priority="71" operator="equal">
      <formula>"Media"</formula>
    </cfRule>
    <cfRule type="cellIs" dxfId="73" priority="72" operator="equal">
      <formula>"Baja"</formula>
    </cfRule>
    <cfRule type="cellIs" dxfId="72" priority="73" operator="equal">
      <formula>"Muy Baja"</formula>
    </cfRule>
  </conditionalFormatting>
  <conditionalFormatting sqref="H28">
    <cfRule type="cellIs" dxfId="71" priority="64" operator="equal">
      <formula>"Muy Alta"</formula>
    </cfRule>
    <cfRule type="cellIs" dxfId="70" priority="65" operator="equal">
      <formula>"Alta"</formula>
    </cfRule>
    <cfRule type="cellIs" dxfId="69" priority="66" operator="equal">
      <formula>"Media"</formula>
    </cfRule>
    <cfRule type="cellIs" dxfId="68" priority="67" operator="equal">
      <formula>"Baja"</formula>
    </cfRule>
    <cfRule type="cellIs" dxfId="67" priority="68" operator="equal">
      <formula>"Muy Baja"</formula>
    </cfRule>
  </conditionalFormatting>
  <conditionalFormatting sqref="H34">
    <cfRule type="cellIs" dxfId="66" priority="59" operator="equal">
      <formula>"Muy Alta"</formula>
    </cfRule>
    <cfRule type="cellIs" dxfId="65" priority="60" operator="equal">
      <formula>"Alta"</formula>
    </cfRule>
    <cfRule type="cellIs" dxfId="64" priority="61" operator="equal">
      <formula>"Media"</formula>
    </cfRule>
    <cfRule type="cellIs" dxfId="63" priority="62" operator="equal">
      <formula>"Baja"</formula>
    </cfRule>
    <cfRule type="cellIs" dxfId="62" priority="63" operator="equal">
      <formula>"Muy Baja"</formula>
    </cfRule>
  </conditionalFormatting>
  <conditionalFormatting sqref="H40">
    <cfRule type="cellIs" dxfId="61" priority="54" operator="equal">
      <formula>"Muy Alta"</formula>
    </cfRule>
    <cfRule type="cellIs" dxfId="60" priority="55" operator="equal">
      <formula>"Alta"</formula>
    </cfRule>
    <cfRule type="cellIs" dxfId="59" priority="56" operator="equal">
      <formula>"Media"</formula>
    </cfRule>
    <cfRule type="cellIs" dxfId="58" priority="57" operator="equal">
      <formula>"Baja"</formula>
    </cfRule>
    <cfRule type="cellIs" dxfId="57" priority="58" operator="equal">
      <formula>"Muy Baja"</formula>
    </cfRule>
  </conditionalFormatting>
  <conditionalFormatting sqref="H46">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H52">
    <cfRule type="cellIs" dxfId="51" priority="44" operator="equal">
      <formula>"Muy Alta"</formula>
    </cfRule>
    <cfRule type="cellIs" dxfId="50" priority="45" operator="equal">
      <formula>"Alta"</formula>
    </cfRule>
    <cfRule type="cellIs" dxfId="49" priority="46" operator="equal">
      <formula>"Media"</formula>
    </cfRule>
    <cfRule type="cellIs" dxfId="48" priority="47" operator="equal">
      <formula>"Baja"</formula>
    </cfRule>
    <cfRule type="cellIs" dxfId="47" priority="48" operator="equal">
      <formula>"Muy Baja"</formula>
    </cfRule>
  </conditionalFormatting>
  <conditionalFormatting sqref="L10">
    <cfRule type="cellIs" dxfId="46" priority="39" operator="equal">
      <formula>"Catastrófico"</formula>
    </cfRule>
    <cfRule type="cellIs" dxfId="45" priority="40" operator="equal">
      <formula>"Mayor"</formula>
    </cfRule>
    <cfRule type="cellIs" dxfId="44" priority="41" operator="equal">
      <formula>"Moderado"</formula>
    </cfRule>
    <cfRule type="cellIs" dxfId="43" priority="42" operator="equal">
      <formula>"Menor"</formula>
    </cfRule>
    <cfRule type="cellIs" dxfId="42" priority="43" operator="equal">
      <formula>"Leve"</formula>
    </cfRule>
  </conditionalFormatting>
  <conditionalFormatting sqref="N10">
    <cfRule type="cellIs" dxfId="41" priority="35" operator="equal">
      <formula>"Extremo"</formula>
    </cfRule>
    <cfRule type="cellIs" dxfId="40" priority="36" operator="equal">
      <formula>"Alto"</formula>
    </cfRule>
    <cfRule type="cellIs" dxfId="39" priority="37" operator="equal">
      <formula>"Moderado"</formula>
    </cfRule>
    <cfRule type="cellIs" dxfId="38" priority="38" operator="equal">
      <formula>"Bajo"</formula>
    </cfRule>
  </conditionalFormatting>
  <conditionalFormatting sqref="K10:K15">
    <cfRule type="containsText" dxfId="37" priority="34" operator="containsText" text="❌">
      <formula>NOT(ISERROR(SEARCH("❌",K10)))</formula>
    </cfRule>
  </conditionalFormatting>
  <conditionalFormatting sqref="H10">
    <cfRule type="cellIs" dxfId="36" priority="29" operator="equal">
      <formula>"Muy Alta"</formula>
    </cfRule>
    <cfRule type="cellIs" dxfId="35" priority="30" operator="equal">
      <formula>"Alta"</formula>
    </cfRule>
    <cfRule type="cellIs" dxfId="34" priority="31" operator="equal">
      <formula>"Media"</formula>
    </cfRule>
    <cfRule type="cellIs" dxfId="33" priority="32" operator="equal">
      <formula>"Baja"</formula>
    </cfRule>
    <cfRule type="cellIs" dxfId="32" priority="33" operator="equal">
      <formula>"Muy Baja"</formula>
    </cfRule>
  </conditionalFormatting>
  <conditionalFormatting sqref="Y10:Y15">
    <cfRule type="cellIs" dxfId="31" priority="24" operator="equal">
      <formula>"Muy Alta"</formula>
    </cfRule>
    <cfRule type="cellIs" dxfId="30" priority="25" operator="equal">
      <formula>"Alta"</formula>
    </cfRule>
    <cfRule type="cellIs" dxfId="29" priority="26" operator="equal">
      <formula>"Media"</formula>
    </cfRule>
    <cfRule type="cellIs" dxfId="28" priority="27" operator="equal">
      <formula>"Baja"</formula>
    </cfRule>
    <cfRule type="cellIs" dxfId="27" priority="28" operator="equal">
      <formula>"Muy Baja"</formula>
    </cfRule>
  </conditionalFormatting>
  <conditionalFormatting sqref="AA10:AA15">
    <cfRule type="cellIs" dxfId="26" priority="19" operator="equal">
      <formula>"Catastrófico"</formula>
    </cfRule>
    <cfRule type="cellIs" dxfId="25" priority="20" operator="equal">
      <formula>"Mayor"</formula>
    </cfRule>
    <cfRule type="cellIs" dxfId="24" priority="21" operator="equal">
      <formula>"Moderado"</formula>
    </cfRule>
    <cfRule type="cellIs" dxfId="23" priority="22" operator="equal">
      <formula>"Menor"</formula>
    </cfRule>
    <cfRule type="cellIs" dxfId="22" priority="23" operator="equal">
      <formula>"Leve"</formula>
    </cfRule>
  </conditionalFormatting>
  <conditionalFormatting sqref="AC10:AC15">
    <cfRule type="cellIs" dxfId="21" priority="15" operator="equal">
      <formula>"Extremo"</formula>
    </cfRule>
    <cfRule type="cellIs" dxfId="20" priority="16" operator="equal">
      <formula>"Alto"</formula>
    </cfRule>
    <cfRule type="cellIs" dxfId="19" priority="17" operator="equal">
      <formula>"Moderado"</formula>
    </cfRule>
    <cfRule type="cellIs" dxfId="18" priority="18" operator="equal">
      <formula>"Bajo"</formula>
    </cfRule>
  </conditionalFormatting>
  <conditionalFormatting sqref="Y16">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A16">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16">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AJ52:AJ53 AJ55:AJ56 AJ16:AJ17 AJ19:AJ20 AJ22:AJ23 AJ25:AJ26 AJ28:AJ29 AJ31:AJ32 AJ34:AJ35 AJ37:AJ38 AJ40:AJ41 AJ43:AJ44 AJ46:AJ47 AJ49:AJ50 AJ10:AJ11 AJ13:AJ14</xm:sqref>
        </x14:dataValidation>
        <x14:dataValidation type="list" allowBlank="1" showInputMessage="1" showErrorMessage="1" xr:uid="{00000000-0002-0000-0100-000001000000}">
          <x14:formula1>
            <xm:f>'Tabla Valoración controles'!$D$4:$D$6</xm:f>
          </x14:formula1>
          <xm:sqref>R10:R57</xm:sqref>
        </x14:dataValidation>
        <x14:dataValidation type="list" allowBlank="1" showInputMessage="1" showErrorMessage="1" xr:uid="{00000000-0002-0000-0100-000002000000}">
          <x14:formula1>
            <xm:f>'Tabla Valoración controles'!$D$7:$D$8</xm:f>
          </x14:formula1>
          <xm:sqref>S10:S57</xm:sqref>
        </x14:dataValidation>
        <x14:dataValidation type="list" allowBlank="1" showInputMessage="1" showErrorMessage="1" xr:uid="{00000000-0002-0000-0100-000003000000}">
          <x14:formula1>
            <xm:f>'Tabla Valoración controles'!$D$9:$D$10</xm:f>
          </x14:formula1>
          <xm:sqref>U10:U57</xm:sqref>
        </x14:dataValidation>
        <x14:dataValidation type="list" allowBlank="1" showInputMessage="1" showErrorMessage="1" xr:uid="{00000000-0002-0000-0100-000004000000}">
          <x14:formula1>
            <xm:f>'Tabla Valoración controles'!$D$11:$D$12</xm:f>
          </x14:formula1>
          <xm:sqref>V10:V57</xm:sqref>
        </x14:dataValidation>
        <x14:dataValidation type="list" allowBlank="1" showInputMessage="1" showErrorMessage="1" xr:uid="{00000000-0002-0000-0100-000005000000}">
          <x14:formula1>
            <xm:f>'Tabla Valoración controles'!$D$13:$D$14</xm:f>
          </x14:formula1>
          <xm:sqref>W10:W57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AD10:AD57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322" t="s">
        <v>159</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37" t="s">
        <v>4</v>
      </c>
      <c r="C6" s="237"/>
      <c r="D6" s="238"/>
      <c r="E6" s="275" t="s">
        <v>114</v>
      </c>
      <c r="F6" s="276"/>
      <c r="G6" s="276"/>
      <c r="H6" s="276"/>
      <c r="I6" s="277"/>
      <c r="J6" s="286" t="e">
        <f>IF(AND('Mapa final'!#REF!="Muy Alta",'Mapa final'!#REF!="Leve"),CONCATENATE("R",'Mapa final'!#REF!),"")</f>
        <v>#REF!</v>
      </c>
      <c r="K6" s="287"/>
      <c r="L6" s="287" t="e">
        <f>IF(AND('Mapa final'!#REF!="Muy Alta",'Mapa final'!#REF!="Leve"),CONCATENATE("R",'Mapa final'!#REF!),"")</f>
        <v>#REF!</v>
      </c>
      <c r="M6" s="287"/>
      <c r="N6" s="287" t="str">
        <f ca="1">IF(AND('Mapa final'!$H$10="Muy Alta",'Mapa final'!$L$10="Leve"),CONCATENATE("R",'Mapa final'!$A$10),"")</f>
        <v/>
      </c>
      <c r="O6" s="289"/>
      <c r="P6" s="286" t="e">
        <f>IF(AND('Mapa final'!#REF!="Muy Alta",'Mapa final'!#REF!="Menor"),CONCATENATE("R",'Mapa final'!#REF!),"")</f>
        <v>#REF!</v>
      </c>
      <c r="Q6" s="287"/>
      <c r="R6" s="287" t="e">
        <f>IF(AND('Mapa final'!#REF!="Muy Alta",'Mapa final'!#REF!="Menor"),CONCATENATE("R",'Mapa final'!#REF!),"")</f>
        <v>#REF!</v>
      </c>
      <c r="S6" s="287"/>
      <c r="T6" s="287" t="str">
        <f ca="1">IF(AND('Mapa final'!$H$10="Muy Alta",'Mapa final'!$L$10="Menor"),CONCATENATE("R",'Mapa final'!$A$10),"")</f>
        <v/>
      </c>
      <c r="U6" s="289"/>
      <c r="V6" s="286" t="e">
        <f>IF(AND('Mapa final'!#REF!="Muy Alta",'Mapa final'!#REF!="Moderado"),CONCATENATE("R",'Mapa final'!#REF!),"")</f>
        <v>#REF!</v>
      </c>
      <c r="W6" s="287"/>
      <c r="X6" s="287" t="e">
        <f>IF(AND('Mapa final'!#REF!="Muy Alta",'Mapa final'!#REF!="Moderado"),CONCATENATE("R",'Mapa final'!#REF!),"")</f>
        <v>#REF!</v>
      </c>
      <c r="Y6" s="287"/>
      <c r="Z6" s="287" t="str">
        <f ca="1">IF(AND('Mapa final'!$H$10="Muy Alta",'Mapa final'!$L$10="Moderado"),CONCATENATE("R",'Mapa final'!$A$10),"")</f>
        <v/>
      </c>
      <c r="AA6" s="289"/>
      <c r="AB6" s="286" t="e">
        <f>IF(AND('Mapa final'!#REF!="Muy Alta",'Mapa final'!#REF!="Mayor"),CONCATENATE("R",'Mapa final'!#REF!),"")</f>
        <v>#REF!</v>
      </c>
      <c r="AC6" s="287"/>
      <c r="AD6" s="287" t="e">
        <f>IF(AND('Mapa final'!#REF!="Muy Alta",'Mapa final'!#REF!="Mayor"),CONCATENATE("R",'Mapa final'!#REF!),"")</f>
        <v>#REF!</v>
      </c>
      <c r="AE6" s="287"/>
      <c r="AF6" s="287" t="str">
        <f ca="1">IF(AND('Mapa final'!$H$10="Muy Alta",'Mapa final'!$L$10="Mayor"),CONCATENATE("R",'Mapa final'!$A$10),"")</f>
        <v/>
      </c>
      <c r="AG6" s="289"/>
      <c r="AH6" s="301" t="e">
        <f>IF(AND('Mapa final'!#REF!="Muy Alta",'Mapa final'!#REF!="Catastrófico"),CONCATENATE("R",'Mapa final'!#REF!),"")</f>
        <v>#REF!</v>
      </c>
      <c r="AI6" s="302"/>
      <c r="AJ6" s="302" t="e">
        <f>IF(AND('Mapa final'!#REF!="Muy Alta",'Mapa final'!#REF!="Catastrófico"),CONCATENATE("R",'Mapa final'!#REF!),"")</f>
        <v>#REF!</v>
      </c>
      <c r="AK6" s="302"/>
      <c r="AL6" s="302" t="str">
        <f ca="1">IF(AND('Mapa final'!$H$10="Muy Alta",'Mapa final'!$L$10="Catastrófico"),CONCATENATE("R",'Mapa final'!$A$10),"")</f>
        <v/>
      </c>
      <c r="AM6" s="303"/>
      <c r="AO6" s="239" t="s">
        <v>79</v>
      </c>
      <c r="AP6" s="240"/>
      <c r="AQ6" s="240"/>
      <c r="AR6" s="240"/>
      <c r="AS6" s="240"/>
      <c r="AT6" s="2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74"/>
      <c r="AO7" s="242"/>
      <c r="AP7" s="243"/>
      <c r="AQ7" s="243"/>
      <c r="AR7" s="243"/>
      <c r="AS7" s="243"/>
      <c r="AT7" s="2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37"/>
      <c r="C8" s="237"/>
      <c r="D8" s="238"/>
      <c r="E8" s="278"/>
      <c r="F8" s="279"/>
      <c r="G8" s="279"/>
      <c r="H8" s="279"/>
      <c r="I8" s="280"/>
      <c r="J8" s="288" t="str">
        <f ca="1">IF(AND('Mapa final'!$H$16="Muy Alta",'Mapa final'!$L$16="Leve"),CONCATENATE("R",'Mapa final'!$A$16),"")</f>
        <v/>
      </c>
      <c r="K8" s="284"/>
      <c r="L8" s="284" t="str">
        <f ca="1">IF(AND('Mapa final'!$H$22="Muy Alta",'Mapa final'!$L$22="Leve"),CONCATENATE("R",'Mapa final'!$A$22),"")</f>
        <v/>
      </c>
      <c r="M8" s="284"/>
      <c r="N8" s="284" t="str">
        <f ca="1">IF(AND('Mapa final'!$H$28="Muy Alta",'Mapa final'!$L$28="Leve"),CONCATENATE("R",'Mapa final'!$A$28),"")</f>
        <v/>
      </c>
      <c r="O8" s="285"/>
      <c r="P8" s="288" t="str">
        <f ca="1">IF(AND('Mapa final'!$H$16="Muy Alta",'Mapa final'!$L$16="Menor"),CONCATENATE("R",'Mapa final'!$A$16),"")</f>
        <v/>
      </c>
      <c r="Q8" s="284"/>
      <c r="R8" s="284" t="str">
        <f ca="1">IF(AND('Mapa final'!$H$22="Muy Alta",'Mapa final'!$L$22="Menor"),CONCATENATE("R",'Mapa final'!$A$22),"")</f>
        <v/>
      </c>
      <c r="S8" s="284"/>
      <c r="T8" s="284" t="str">
        <f ca="1">IF(AND('Mapa final'!$H$28="Muy Alta",'Mapa final'!$L$28="Menor"),CONCATENATE("R",'Mapa final'!$A$28),"")</f>
        <v/>
      </c>
      <c r="U8" s="285"/>
      <c r="V8" s="288" t="str">
        <f ca="1">IF(AND('Mapa final'!$H$16="Muy Alta",'Mapa final'!$L$16="Moderado"),CONCATENATE("R",'Mapa final'!$A$16),"")</f>
        <v/>
      </c>
      <c r="W8" s="284"/>
      <c r="X8" s="284" t="str">
        <f ca="1">IF(AND('Mapa final'!$H$22="Muy Alta",'Mapa final'!$L$22="Moderado"),CONCATENATE("R",'Mapa final'!$A$22),"")</f>
        <v/>
      </c>
      <c r="Y8" s="284"/>
      <c r="Z8" s="284" t="str">
        <f ca="1">IF(AND('Mapa final'!$H$28="Muy Alta",'Mapa final'!$L$28="Moderado"),CONCATENATE("R",'Mapa final'!$A$28),"")</f>
        <v/>
      </c>
      <c r="AA8" s="285"/>
      <c r="AB8" s="288" t="str">
        <f ca="1">IF(AND('Mapa final'!$H$16="Muy Alta",'Mapa final'!$L$16="Mayor"),CONCATENATE("R",'Mapa final'!$A$16),"")</f>
        <v/>
      </c>
      <c r="AC8" s="284"/>
      <c r="AD8" s="284" t="str">
        <f ca="1">IF(AND('Mapa final'!$H$22="Muy Alta",'Mapa final'!$L$22="Mayor"),CONCATENATE("R",'Mapa final'!$A$22),"")</f>
        <v/>
      </c>
      <c r="AE8" s="284"/>
      <c r="AF8" s="284" t="str">
        <f ca="1">IF(AND('Mapa final'!$H$28="Muy Alta",'Mapa final'!$L$28="Mayor"),CONCATENATE("R",'Mapa final'!$A$28),"")</f>
        <v/>
      </c>
      <c r="AG8" s="285"/>
      <c r="AH8" s="295" t="str">
        <f ca="1">IF(AND('Mapa final'!$H$16="Muy Alta",'Mapa final'!$L$16="Catastrófico"),CONCATENATE("R",'Mapa final'!$A$16),"")</f>
        <v/>
      </c>
      <c r="AI8" s="296"/>
      <c r="AJ8" s="296" t="str">
        <f ca="1">IF(AND('Mapa final'!$H$22="Muy Alta",'Mapa final'!$L$22="Catastrófico"),CONCATENATE("R",'Mapa final'!$A$22),"")</f>
        <v/>
      </c>
      <c r="AK8" s="296"/>
      <c r="AL8" s="296" t="str">
        <f ca="1">IF(AND('Mapa final'!$H$28="Muy Alta",'Mapa final'!$L$28="Catastrófico"),CONCATENATE("R",'Mapa final'!$A$28),"")</f>
        <v/>
      </c>
      <c r="AM8" s="297"/>
      <c r="AN8" s="74"/>
      <c r="AO8" s="242"/>
      <c r="AP8" s="243"/>
      <c r="AQ8" s="243"/>
      <c r="AR8" s="243"/>
      <c r="AS8" s="243"/>
      <c r="AT8" s="2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74"/>
      <c r="AO9" s="242"/>
      <c r="AP9" s="243"/>
      <c r="AQ9" s="243"/>
      <c r="AR9" s="243"/>
      <c r="AS9" s="243"/>
      <c r="AT9" s="2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37"/>
      <c r="C10" s="237"/>
      <c r="D10" s="238"/>
      <c r="E10" s="278"/>
      <c r="F10" s="279"/>
      <c r="G10" s="279"/>
      <c r="H10" s="279"/>
      <c r="I10" s="280"/>
      <c r="J10" s="288" t="str">
        <f ca="1">IF(AND('Mapa final'!$H$34="Muy Alta",'Mapa final'!$L$34="Leve"),CONCATENATE("R",'Mapa final'!$A$34),"")</f>
        <v/>
      </c>
      <c r="K10" s="284"/>
      <c r="L10" s="284" t="str">
        <f ca="1">IF(AND('Mapa final'!$H$40="Muy Alta",'Mapa final'!$L$40="Leve"),CONCATENATE("R",'Mapa final'!$A$40),"")</f>
        <v/>
      </c>
      <c r="M10" s="284"/>
      <c r="N10" s="284" t="str">
        <f ca="1">IF(AND('Mapa final'!$H$46="Muy Alta",'Mapa final'!$L$46="Leve"),CONCATENATE("R",'Mapa final'!$A$46),"")</f>
        <v/>
      </c>
      <c r="O10" s="285"/>
      <c r="P10" s="288" t="str">
        <f ca="1">IF(AND('Mapa final'!$H$34="Muy Alta",'Mapa final'!$L$34="Menor"),CONCATENATE("R",'Mapa final'!$A$34),"")</f>
        <v/>
      </c>
      <c r="Q10" s="284"/>
      <c r="R10" s="284" t="str">
        <f ca="1">IF(AND('Mapa final'!$H$40="Muy Alta",'Mapa final'!$L$40="Menor"),CONCATENATE("R",'Mapa final'!$A$40),"")</f>
        <v/>
      </c>
      <c r="S10" s="284"/>
      <c r="T10" s="284" t="str">
        <f ca="1">IF(AND('Mapa final'!$H$46="Muy Alta",'Mapa final'!$L$46="Menor"),CONCATENATE("R",'Mapa final'!$A$46),"")</f>
        <v/>
      </c>
      <c r="U10" s="285"/>
      <c r="V10" s="288" t="str">
        <f ca="1">IF(AND('Mapa final'!$H$34="Muy Alta",'Mapa final'!$L$34="Moderado"),CONCATENATE("R",'Mapa final'!$A$34),"")</f>
        <v/>
      </c>
      <c r="W10" s="284"/>
      <c r="X10" s="284" t="str">
        <f ca="1">IF(AND('Mapa final'!$H$40="Muy Alta",'Mapa final'!$L$40="Moderado"),CONCATENATE("R",'Mapa final'!$A$40),"")</f>
        <v/>
      </c>
      <c r="Y10" s="284"/>
      <c r="Z10" s="284" t="str">
        <f ca="1">IF(AND('Mapa final'!$H$46="Muy Alta",'Mapa final'!$L$46="Moderado"),CONCATENATE("R",'Mapa final'!$A$46),"")</f>
        <v/>
      </c>
      <c r="AA10" s="285"/>
      <c r="AB10" s="288" t="str">
        <f ca="1">IF(AND('Mapa final'!$H$34="Muy Alta",'Mapa final'!$L$34="Mayor"),CONCATENATE("R",'Mapa final'!$A$34),"")</f>
        <v/>
      </c>
      <c r="AC10" s="284"/>
      <c r="AD10" s="284" t="str">
        <f ca="1">IF(AND('Mapa final'!$H$40="Muy Alta",'Mapa final'!$L$40="Mayor"),CONCATENATE("R",'Mapa final'!$A$40),"")</f>
        <v/>
      </c>
      <c r="AE10" s="284"/>
      <c r="AF10" s="284" t="str">
        <f ca="1">IF(AND('Mapa final'!$H$46="Muy Alta",'Mapa final'!$L$46="Mayor"),CONCATENATE("R",'Mapa final'!$A$46),"")</f>
        <v/>
      </c>
      <c r="AG10" s="285"/>
      <c r="AH10" s="295" t="str">
        <f ca="1">IF(AND('Mapa final'!$H$34="Muy Alta",'Mapa final'!$L$34="Catastrófico"),CONCATENATE("R",'Mapa final'!$A$34),"")</f>
        <v/>
      </c>
      <c r="AI10" s="296"/>
      <c r="AJ10" s="296" t="str">
        <f ca="1">IF(AND('Mapa final'!$H$40="Muy Alta",'Mapa final'!$L$40="Catastrófico"),CONCATENATE("R",'Mapa final'!$A$40),"")</f>
        <v/>
      </c>
      <c r="AK10" s="296"/>
      <c r="AL10" s="296" t="str">
        <f ca="1">IF(AND('Mapa final'!$H$46="Muy Alta",'Mapa final'!$L$46="Catastrófico"),CONCATENATE("R",'Mapa final'!$A$46),"")</f>
        <v/>
      </c>
      <c r="AM10" s="297"/>
      <c r="AN10" s="74"/>
      <c r="AO10" s="242"/>
      <c r="AP10" s="243"/>
      <c r="AQ10" s="243"/>
      <c r="AR10" s="243"/>
      <c r="AS10" s="243"/>
      <c r="AT10" s="2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74"/>
      <c r="AO11" s="242"/>
      <c r="AP11" s="243"/>
      <c r="AQ11" s="243"/>
      <c r="AR11" s="243"/>
      <c r="AS11" s="243"/>
      <c r="AT11" s="2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37"/>
      <c r="C12" s="237"/>
      <c r="D12" s="238"/>
      <c r="E12" s="278"/>
      <c r="F12" s="279"/>
      <c r="G12" s="279"/>
      <c r="H12" s="279"/>
      <c r="I12" s="280"/>
      <c r="J12" s="288" t="str">
        <f ca="1">IF(AND('Mapa final'!$H$52="Muy Alta",'Mapa final'!$L$52="Leve"),CONCATENATE("R",'Mapa final'!$A$52),"")</f>
        <v/>
      </c>
      <c r="K12" s="284"/>
      <c r="L12" s="284" t="str">
        <f>IF(AND('Mapa final'!$H$58="Muy Alta",'Mapa final'!$L$58="Leve"),CONCATENATE("R",'Mapa final'!$A$58),"")</f>
        <v/>
      </c>
      <c r="M12" s="284"/>
      <c r="N12" s="284" t="str">
        <f>IF(AND('Mapa final'!$H$64="Muy Alta",'Mapa final'!$L$64="Leve"),CONCATENATE("R",'Mapa final'!$A$64),"")</f>
        <v/>
      </c>
      <c r="O12" s="285"/>
      <c r="P12" s="288" t="str">
        <f ca="1">IF(AND('Mapa final'!$H$52="Muy Alta",'Mapa final'!$L$52="Menor"),CONCATENATE("R",'Mapa final'!$A$52),"")</f>
        <v/>
      </c>
      <c r="Q12" s="284"/>
      <c r="R12" s="284" t="str">
        <f>IF(AND('Mapa final'!$H$58="Muy Alta",'Mapa final'!$L$58="Menor"),CONCATENATE("R",'Mapa final'!$A$58),"")</f>
        <v/>
      </c>
      <c r="S12" s="284"/>
      <c r="T12" s="284" t="str">
        <f>IF(AND('Mapa final'!$H$64="Muy Alta",'Mapa final'!$L$64="Menor"),CONCATENATE("R",'Mapa final'!$A$64),"")</f>
        <v/>
      </c>
      <c r="U12" s="285"/>
      <c r="V12" s="288" t="str">
        <f ca="1">IF(AND('Mapa final'!$H$52="Muy Alta",'Mapa final'!$L$52="Moderado"),CONCATENATE("R",'Mapa final'!$A$52),"")</f>
        <v/>
      </c>
      <c r="W12" s="284"/>
      <c r="X12" s="284" t="str">
        <f>IF(AND('Mapa final'!$H$58="Muy Alta",'Mapa final'!$L$58="Moderado"),CONCATENATE("R",'Mapa final'!$A$58),"")</f>
        <v/>
      </c>
      <c r="Y12" s="284"/>
      <c r="Z12" s="284" t="str">
        <f>IF(AND('Mapa final'!$H$64="Muy Alta",'Mapa final'!$L$64="Moderado"),CONCATENATE("R",'Mapa final'!$A$64),"")</f>
        <v/>
      </c>
      <c r="AA12" s="285"/>
      <c r="AB12" s="288" t="str">
        <f ca="1">IF(AND('Mapa final'!$H$52="Muy Alta",'Mapa final'!$L$52="Mayor"),CONCATENATE("R",'Mapa final'!$A$52),"")</f>
        <v/>
      </c>
      <c r="AC12" s="284"/>
      <c r="AD12" s="284" t="str">
        <f>IF(AND('Mapa final'!$H$58="Muy Alta",'Mapa final'!$L$58="Mayor"),CONCATENATE("R",'Mapa final'!$A$58),"")</f>
        <v/>
      </c>
      <c r="AE12" s="284"/>
      <c r="AF12" s="284" t="str">
        <f>IF(AND('Mapa final'!$H$64="Muy Alta",'Mapa final'!$L$64="Mayor"),CONCATENATE("R",'Mapa final'!$A$64),"")</f>
        <v/>
      </c>
      <c r="AG12" s="285"/>
      <c r="AH12" s="295" t="str">
        <f ca="1">IF(AND('Mapa final'!$H$52="Muy Alta",'Mapa final'!$L$52="Catastrófico"),CONCATENATE("R",'Mapa final'!$A$52),"")</f>
        <v/>
      </c>
      <c r="AI12" s="296"/>
      <c r="AJ12" s="296" t="str">
        <f>IF(AND('Mapa final'!$H$58="Muy Alta",'Mapa final'!$L$58="Catastrófico"),CONCATENATE("R",'Mapa final'!$A$58),"")</f>
        <v/>
      </c>
      <c r="AK12" s="296"/>
      <c r="AL12" s="296" t="str">
        <f>IF(AND('Mapa final'!$H$64="Muy Alta",'Mapa final'!$L$64="Catastrófico"),CONCATENATE("R",'Mapa final'!$A$64),"")</f>
        <v/>
      </c>
      <c r="AM12" s="297"/>
      <c r="AN12" s="74"/>
      <c r="AO12" s="242"/>
      <c r="AP12" s="243"/>
      <c r="AQ12" s="243"/>
      <c r="AR12" s="243"/>
      <c r="AS12" s="243"/>
      <c r="AT12" s="2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74"/>
      <c r="AO13" s="245"/>
      <c r="AP13" s="246"/>
      <c r="AQ13" s="246"/>
      <c r="AR13" s="246"/>
      <c r="AS13" s="246"/>
      <c r="AT13" s="24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37"/>
      <c r="C14" s="237"/>
      <c r="D14" s="238"/>
      <c r="E14" s="275" t="s">
        <v>113</v>
      </c>
      <c r="F14" s="276"/>
      <c r="G14" s="276"/>
      <c r="H14" s="276"/>
      <c r="I14" s="276"/>
      <c r="J14" s="310" t="e">
        <f>IF(AND('Mapa final'!#REF!="Alta",'Mapa final'!#REF!="Leve"),CONCATENATE("R",'Mapa final'!#REF!),"")</f>
        <v>#REF!</v>
      </c>
      <c r="K14" s="311"/>
      <c r="L14" s="311" t="e">
        <f>IF(AND('Mapa final'!#REF!="Alta",'Mapa final'!#REF!="Leve"),CONCATENATE("R",'Mapa final'!#REF!),"")</f>
        <v>#REF!</v>
      </c>
      <c r="M14" s="311"/>
      <c r="N14" s="311" t="str">
        <f ca="1">IF(AND('Mapa final'!$H$10="Alta",'Mapa final'!$L$10="Leve"),CONCATENATE("R",'Mapa final'!$A$10),"")</f>
        <v/>
      </c>
      <c r="O14" s="312"/>
      <c r="P14" s="310" t="e">
        <f>IF(AND('Mapa final'!#REF!="Alta",'Mapa final'!#REF!="Menor"),CONCATENATE("R",'Mapa final'!#REF!),"")</f>
        <v>#REF!</v>
      </c>
      <c r="Q14" s="311"/>
      <c r="R14" s="311" t="e">
        <f>IF(AND('Mapa final'!#REF!="Alta",'Mapa final'!#REF!="Menor"),CONCATENATE("R",'Mapa final'!#REF!),"")</f>
        <v>#REF!</v>
      </c>
      <c r="S14" s="311"/>
      <c r="T14" s="311" t="str">
        <f ca="1">IF(AND('Mapa final'!$H$10="Alta",'Mapa final'!$L$10="Menor"),CONCATENATE("R",'Mapa final'!$A$10),"")</f>
        <v/>
      </c>
      <c r="U14" s="312"/>
      <c r="V14" s="286" t="e">
        <f>IF(AND('Mapa final'!#REF!="Alta",'Mapa final'!#REF!="Moderado"),CONCATENATE("R",'Mapa final'!#REF!),"")</f>
        <v>#REF!</v>
      </c>
      <c r="W14" s="287"/>
      <c r="X14" s="287" t="e">
        <f>IF(AND('Mapa final'!#REF!="Alta",'Mapa final'!#REF!="Moderado"),CONCATENATE("R",'Mapa final'!#REF!),"")</f>
        <v>#REF!</v>
      </c>
      <c r="Y14" s="287"/>
      <c r="Z14" s="287" t="str">
        <f ca="1">IF(AND('Mapa final'!$H$10="Alta",'Mapa final'!$L$10="Moderado"),CONCATENATE("R",'Mapa final'!$A$10),"")</f>
        <v/>
      </c>
      <c r="AA14" s="289"/>
      <c r="AB14" s="286" t="e">
        <f>IF(AND('Mapa final'!#REF!="Alta",'Mapa final'!#REF!="Mayor"),CONCATENATE("R",'Mapa final'!#REF!),"")</f>
        <v>#REF!</v>
      </c>
      <c r="AC14" s="287"/>
      <c r="AD14" s="287" t="e">
        <f>IF(AND('Mapa final'!#REF!="Alta",'Mapa final'!#REF!="Mayor"),CONCATENATE("R",'Mapa final'!#REF!),"")</f>
        <v>#REF!</v>
      </c>
      <c r="AE14" s="287"/>
      <c r="AF14" s="287" t="str">
        <f ca="1">IF(AND('Mapa final'!$H$10="Alta",'Mapa final'!$L$10="Mayor"),CONCATENATE("R",'Mapa final'!$A$10),"")</f>
        <v/>
      </c>
      <c r="AG14" s="289"/>
      <c r="AH14" s="301" t="e">
        <f>IF(AND('Mapa final'!#REF!="Alta",'Mapa final'!#REF!="Catastrófico"),CONCATENATE("R",'Mapa final'!#REF!),"")</f>
        <v>#REF!</v>
      </c>
      <c r="AI14" s="302"/>
      <c r="AJ14" s="302" t="e">
        <f>IF(AND('Mapa final'!#REF!="Alta",'Mapa final'!#REF!="Catastrófico"),CONCATENATE("R",'Mapa final'!#REF!),"")</f>
        <v>#REF!</v>
      </c>
      <c r="AK14" s="302"/>
      <c r="AL14" s="302" t="str">
        <f ca="1">IF(AND('Mapa final'!$H$10="Alta",'Mapa final'!$L$10="Catastrófico"),CONCATENATE("R",'Mapa final'!$A$10),"")</f>
        <v/>
      </c>
      <c r="AM14" s="303"/>
      <c r="AN14" s="74"/>
      <c r="AO14" s="248" t="s">
        <v>80</v>
      </c>
      <c r="AP14" s="249"/>
      <c r="AQ14" s="249"/>
      <c r="AR14" s="249"/>
      <c r="AS14" s="249"/>
      <c r="AT14" s="250"/>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74"/>
      <c r="AO15" s="251"/>
      <c r="AP15" s="252"/>
      <c r="AQ15" s="252"/>
      <c r="AR15" s="252"/>
      <c r="AS15" s="252"/>
      <c r="AT15" s="253"/>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37"/>
      <c r="C16" s="237"/>
      <c r="D16" s="238"/>
      <c r="E16" s="278"/>
      <c r="F16" s="279"/>
      <c r="G16" s="279"/>
      <c r="H16" s="279"/>
      <c r="I16" s="279"/>
      <c r="J16" s="304" t="str">
        <f ca="1">IF(AND('Mapa final'!$H$16="Alta",'Mapa final'!$L$16="Leve"),CONCATENATE("R",'Mapa final'!$A$16),"")</f>
        <v/>
      </c>
      <c r="K16" s="305"/>
      <c r="L16" s="305" t="str">
        <f ca="1">IF(AND('Mapa final'!$H$22="Alta",'Mapa final'!$L$22="Leve"),CONCATENATE("R",'Mapa final'!$A$22),"")</f>
        <v/>
      </c>
      <c r="M16" s="305"/>
      <c r="N16" s="305" t="str">
        <f ca="1">IF(AND('Mapa final'!$H$28="Alta",'Mapa final'!$L$28="Leve"),CONCATENATE("R",'Mapa final'!$A$28),"")</f>
        <v/>
      </c>
      <c r="O16" s="306"/>
      <c r="P16" s="304" t="str">
        <f ca="1">IF(AND('Mapa final'!$H$16="Alta",'Mapa final'!$L$16="Menor"),CONCATENATE("R",'Mapa final'!$A$16),"")</f>
        <v/>
      </c>
      <c r="Q16" s="305"/>
      <c r="R16" s="305" t="str">
        <f ca="1">IF(AND('Mapa final'!$H$22="Alta",'Mapa final'!$L$22="Menor"),CONCATENATE("R",'Mapa final'!$A$22),"")</f>
        <v/>
      </c>
      <c r="S16" s="305"/>
      <c r="T16" s="305" t="str">
        <f ca="1">IF(AND('Mapa final'!$H$28="Alta",'Mapa final'!$L$28="Menor"),CONCATENATE("R",'Mapa final'!$A$28),"")</f>
        <v/>
      </c>
      <c r="U16" s="306"/>
      <c r="V16" s="288" t="str">
        <f ca="1">IF(AND('Mapa final'!$H$16="Alta",'Mapa final'!$L$16="Moderado"),CONCATENATE("R",'Mapa final'!$A$16),"")</f>
        <v/>
      </c>
      <c r="W16" s="284"/>
      <c r="X16" s="284" t="str">
        <f ca="1">IF(AND('Mapa final'!$H$22="Alta",'Mapa final'!$L$22="Moderado"),CONCATENATE("R",'Mapa final'!$A$22),"")</f>
        <v/>
      </c>
      <c r="Y16" s="284"/>
      <c r="Z16" s="284" t="str">
        <f ca="1">IF(AND('Mapa final'!$H$28="Alta",'Mapa final'!$L$28="Moderado"),CONCATENATE("R",'Mapa final'!$A$28),"")</f>
        <v/>
      </c>
      <c r="AA16" s="285"/>
      <c r="AB16" s="288" t="str">
        <f ca="1">IF(AND('Mapa final'!$H$16="Alta",'Mapa final'!$L$16="Mayor"),CONCATENATE("R",'Mapa final'!$A$16),"")</f>
        <v/>
      </c>
      <c r="AC16" s="284"/>
      <c r="AD16" s="284" t="str">
        <f ca="1">IF(AND('Mapa final'!$H$22="Alta",'Mapa final'!$L$22="Mayor"),CONCATENATE("R",'Mapa final'!$A$22),"")</f>
        <v/>
      </c>
      <c r="AE16" s="284"/>
      <c r="AF16" s="284" t="str">
        <f ca="1">IF(AND('Mapa final'!$H$28="Alta",'Mapa final'!$L$28="Mayor"),CONCATENATE("R",'Mapa final'!$A$28),"")</f>
        <v/>
      </c>
      <c r="AG16" s="285"/>
      <c r="AH16" s="295" t="str">
        <f ca="1">IF(AND('Mapa final'!$H$16="Alta",'Mapa final'!$L$16="Catastrófico"),CONCATENATE("R",'Mapa final'!$A$16),"")</f>
        <v/>
      </c>
      <c r="AI16" s="296"/>
      <c r="AJ16" s="296" t="str">
        <f ca="1">IF(AND('Mapa final'!$H$22="Alta",'Mapa final'!$L$22="Catastrófico"),CONCATENATE("R",'Mapa final'!$A$22),"")</f>
        <v/>
      </c>
      <c r="AK16" s="296"/>
      <c r="AL16" s="296" t="str">
        <f ca="1">IF(AND('Mapa final'!$H$28="Alta",'Mapa final'!$L$28="Catastrófico"),CONCATENATE("R",'Mapa final'!$A$28),"")</f>
        <v/>
      </c>
      <c r="AM16" s="297"/>
      <c r="AN16" s="74"/>
      <c r="AO16" s="251"/>
      <c r="AP16" s="252"/>
      <c r="AQ16" s="252"/>
      <c r="AR16" s="252"/>
      <c r="AS16" s="252"/>
      <c r="AT16" s="253"/>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74"/>
      <c r="AO17" s="251"/>
      <c r="AP17" s="252"/>
      <c r="AQ17" s="252"/>
      <c r="AR17" s="252"/>
      <c r="AS17" s="252"/>
      <c r="AT17" s="253"/>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37"/>
      <c r="C18" s="237"/>
      <c r="D18" s="238"/>
      <c r="E18" s="278"/>
      <c r="F18" s="279"/>
      <c r="G18" s="279"/>
      <c r="H18" s="279"/>
      <c r="I18" s="279"/>
      <c r="J18" s="304" t="str">
        <f ca="1">IF(AND('Mapa final'!$H$34="Alta",'Mapa final'!$L$34="Leve"),CONCATENATE("R",'Mapa final'!$A$34),"")</f>
        <v/>
      </c>
      <c r="K18" s="305"/>
      <c r="L18" s="305" t="str">
        <f ca="1">IF(AND('Mapa final'!$H$40="Alta",'Mapa final'!$L$40="Leve"),CONCATENATE("R",'Mapa final'!$A$40),"")</f>
        <v/>
      </c>
      <c r="M18" s="305"/>
      <c r="N18" s="305" t="str">
        <f ca="1">IF(AND('Mapa final'!$H$46="Alta",'Mapa final'!$L$46="Leve"),CONCATENATE("R",'Mapa final'!$A$46),"")</f>
        <v/>
      </c>
      <c r="O18" s="306"/>
      <c r="P18" s="304" t="str">
        <f ca="1">IF(AND('Mapa final'!$H$34="Alta",'Mapa final'!$L$34="Menor"),CONCATENATE("R",'Mapa final'!$A$34),"")</f>
        <v/>
      </c>
      <c r="Q18" s="305"/>
      <c r="R18" s="305" t="str">
        <f ca="1">IF(AND('Mapa final'!$H$40="Alta",'Mapa final'!$L$40="Menor"),CONCATENATE("R",'Mapa final'!$A$40),"")</f>
        <v/>
      </c>
      <c r="S18" s="305"/>
      <c r="T18" s="305" t="str">
        <f ca="1">IF(AND('Mapa final'!$H$46="Alta",'Mapa final'!$L$46="Menor"),CONCATENATE("R",'Mapa final'!$A$46),"")</f>
        <v/>
      </c>
      <c r="U18" s="306"/>
      <c r="V18" s="288" t="str">
        <f ca="1">IF(AND('Mapa final'!$H$34="Alta",'Mapa final'!$L$34="Moderado"),CONCATENATE("R",'Mapa final'!$A$34),"")</f>
        <v/>
      </c>
      <c r="W18" s="284"/>
      <c r="X18" s="284" t="str">
        <f ca="1">IF(AND('Mapa final'!$H$40="Alta",'Mapa final'!$L$40="Moderado"),CONCATENATE("R",'Mapa final'!$A$40),"")</f>
        <v/>
      </c>
      <c r="Y18" s="284"/>
      <c r="Z18" s="284" t="str">
        <f ca="1">IF(AND('Mapa final'!$H$46="Alta",'Mapa final'!$L$46="Moderado"),CONCATENATE("R",'Mapa final'!$A$46),"")</f>
        <v/>
      </c>
      <c r="AA18" s="285"/>
      <c r="AB18" s="288" t="str">
        <f ca="1">IF(AND('Mapa final'!$H$34="Alta",'Mapa final'!$L$34="Mayor"),CONCATENATE("R",'Mapa final'!$A$34),"")</f>
        <v/>
      </c>
      <c r="AC18" s="284"/>
      <c r="AD18" s="284" t="str">
        <f ca="1">IF(AND('Mapa final'!$H$40="Alta",'Mapa final'!$L$40="Mayor"),CONCATENATE("R",'Mapa final'!$A$40),"")</f>
        <v/>
      </c>
      <c r="AE18" s="284"/>
      <c r="AF18" s="284" t="str">
        <f ca="1">IF(AND('Mapa final'!$H$46="Alta",'Mapa final'!$L$46="Mayor"),CONCATENATE("R",'Mapa final'!$A$46),"")</f>
        <v/>
      </c>
      <c r="AG18" s="285"/>
      <c r="AH18" s="295" t="str">
        <f ca="1">IF(AND('Mapa final'!$H$34="Alta",'Mapa final'!$L$34="Catastrófico"),CONCATENATE("R",'Mapa final'!$A$34),"")</f>
        <v/>
      </c>
      <c r="AI18" s="296"/>
      <c r="AJ18" s="296" t="str">
        <f ca="1">IF(AND('Mapa final'!$H$40="Alta",'Mapa final'!$L$40="Catastrófico"),CONCATENATE("R",'Mapa final'!$A$40),"")</f>
        <v/>
      </c>
      <c r="AK18" s="296"/>
      <c r="AL18" s="296" t="str">
        <f ca="1">IF(AND('Mapa final'!$H$46="Alta",'Mapa final'!$L$46="Catastrófico"),CONCATENATE("R",'Mapa final'!$A$46),"")</f>
        <v/>
      </c>
      <c r="AM18" s="297"/>
      <c r="AN18" s="74"/>
      <c r="AO18" s="251"/>
      <c r="AP18" s="252"/>
      <c r="AQ18" s="252"/>
      <c r="AR18" s="252"/>
      <c r="AS18" s="252"/>
      <c r="AT18" s="253"/>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74"/>
      <c r="AO19" s="251"/>
      <c r="AP19" s="252"/>
      <c r="AQ19" s="252"/>
      <c r="AR19" s="252"/>
      <c r="AS19" s="252"/>
      <c r="AT19" s="253"/>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37"/>
      <c r="C20" s="237"/>
      <c r="D20" s="238"/>
      <c r="E20" s="278"/>
      <c r="F20" s="279"/>
      <c r="G20" s="279"/>
      <c r="H20" s="279"/>
      <c r="I20" s="279"/>
      <c r="J20" s="304" t="str">
        <f ca="1">IF(AND('Mapa final'!$H$52="Alta",'Mapa final'!$L$52="Leve"),CONCATENATE("R",'Mapa final'!$A$52),"")</f>
        <v/>
      </c>
      <c r="K20" s="305"/>
      <c r="L20" s="305" t="str">
        <f>IF(AND('Mapa final'!$H$58="Alta",'Mapa final'!$L$58="Leve"),CONCATENATE("R",'Mapa final'!$A$58),"")</f>
        <v/>
      </c>
      <c r="M20" s="305"/>
      <c r="N20" s="305" t="str">
        <f>IF(AND('Mapa final'!$H$64="Alta",'Mapa final'!$L$64="Leve"),CONCATENATE("R",'Mapa final'!$A$64),"")</f>
        <v/>
      </c>
      <c r="O20" s="306"/>
      <c r="P20" s="304" t="str">
        <f ca="1">IF(AND('Mapa final'!$H$52="Alta",'Mapa final'!$L$52="Menor"),CONCATENATE("R",'Mapa final'!$A$52),"")</f>
        <v/>
      </c>
      <c r="Q20" s="305"/>
      <c r="R20" s="305" t="str">
        <f>IF(AND('Mapa final'!$H$58="Alta",'Mapa final'!$L$58="Menor"),CONCATENATE("R",'Mapa final'!$A$58),"")</f>
        <v/>
      </c>
      <c r="S20" s="305"/>
      <c r="T20" s="305" t="str">
        <f>IF(AND('Mapa final'!$H$64="Alta",'Mapa final'!$L$64="Menor"),CONCATENATE("R",'Mapa final'!$A$64),"")</f>
        <v/>
      </c>
      <c r="U20" s="306"/>
      <c r="V20" s="288" t="str">
        <f ca="1">IF(AND('Mapa final'!$H$52="Alta",'Mapa final'!$L$52="Moderado"),CONCATENATE("R",'Mapa final'!$A$52),"")</f>
        <v/>
      </c>
      <c r="W20" s="284"/>
      <c r="X20" s="284" t="str">
        <f>IF(AND('Mapa final'!$H$58="Alta",'Mapa final'!$L$58="Moderado"),CONCATENATE("R",'Mapa final'!$A$58),"")</f>
        <v/>
      </c>
      <c r="Y20" s="284"/>
      <c r="Z20" s="284" t="str">
        <f>IF(AND('Mapa final'!$H$64="Alta",'Mapa final'!$L$64="Moderado"),CONCATENATE("R",'Mapa final'!$A$64),"")</f>
        <v/>
      </c>
      <c r="AA20" s="285"/>
      <c r="AB20" s="288" t="str">
        <f ca="1">IF(AND('Mapa final'!$H$52="Alta",'Mapa final'!$L$52="Mayor"),CONCATENATE("R",'Mapa final'!$A$52),"")</f>
        <v/>
      </c>
      <c r="AC20" s="284"/>
      <c r="AD20" s="284" t="str">
        <f>IF(AND('Mapa final'!$H$58="Alta",'Mapa final'!$L$58="Mayor"),CONCATENATE("R",'Mapa final'!$A$58),"")</f>
        <v/>
      </c>
      <c r="AE20" s="284"/>
      <c r="AF20" s="284" t="str">
        <f>IF(AND('Mapa final'!$H$64="Alta",'Mapa final'!$L$64="Mayor"),CONCATENATE("R",'Mapa final'!$A$64),"")</f>
        <v/>
      </c>
      <c r="AG20" s="285"/>
      <c r="AH20" s="295" t="str">
        <f ca="1">IF(AND('Mapa final'!$H$52="Alta",'Mapa final'!$L$52="Catastrófico"),CONCATENATE("R",'Mapa final'!$A$52),"")</f>
        <v/>
      </c>
      <c r="AI20" s="296"/>
      <c r="AJ20" s="296" t="str">
        <f>IF(AND('Mapa final'!$H$58="Alta",'Mapa final'!$L$58="Catastrófico"),CONCATENATE("R",'Mapa final'!$A$58),"")</f>
        <v/>
      </c>
      <c r="AK20" s="296"/>
      <c r="AL20" s="296" t="str">
        <f>IF(AND('Mapa final'!$H$64="Alta",'Mapa final'!$L$64="Catastrófico"),CONCATENATE("R",'Mapa final'!$A$64),"")</f>
        <v/>
      </c>
      <c r="AM20" s="297"/>
      <c r="AN20" s="74"/>
      <c r="AO20" s="251"/>
      <c r="AP20" s="252"/>
      <c r="AQ20" s="252"/>
      <c r="AR20" s="252"/>
      <c r="AS20" s="252"/>
      <c r="AT20" s="253"/>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74"/>
      <c r="AO21" s="254"/>
      <c r="AP21" s="255"/>
      <c r="AQ21" s="255"/>
      <c r="AR21" s="255"/>
      <c r="AS21" s="255"/>
      <c r="AT21" s="256"/>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37"/>
      <c r="C22" s="237"/>
      <c r="D22" s="238"/>
      <c r="E22" s="275" t="s">
        <v>115</v>
      </c>
      <c r="F22" s="276"/>
      <c r="G22" s="276"/>
      <c r="H22" s="276"/>
      <c r="I22" s="277"/>
      <c r="J22" s="310" t="e">
        <f>IF(AND('Mapa final'!#REF!="Media",'Mapa final'!#REF!="Leve"),CONCATENATE("R",'Mapa final'!#REF!),"")</f>
        <v>#REF!</v>
      </c>
      <c r="K22" s="311"/>
      <c r="L22" s="311" t="e">
        <f>IF(AND('Mapa final'!#REF!="Media",'Mapa final'!#REF!="Leve"),CONCATENATE("R",'Mapa final'!#REF!),"")</f>
        <v>#REF!</v>
      </c>
      <c r="M22" s="311"/>
      <c r="N22" s="311" t="str">
        <f ca="1">IF(AND('Mapa final'!$H$10="Media",'Mapa final'!$L$10="Leve"),CONCATENATE("R",'Mapa final'!$A$10),"")</f>
        <v/>
      </c>
      <c r="O22" s="312"/>
      <c r="P22" s="310" t="e">
        <f>IF(AND('Mapa final'!#REF!="Media",'Mapa final'!#REF!="Menor"),CONCATENATE("R",'Mapa final'!#REF!),"")</f>
        <v>#REF!</v>
      </c>
      <c r="Q22" s="311"/>
      <c r="R22" s="311" t="e">
        <f>IF(AND('Mapa final'!#REF!="Media",'Mapa final'!#REF!="Menor"),CONCATENATE("R",'Mapa final'!#REF!),"")</f>
        <v>#REF!</v>
      </c>
      <c r="S22" s="311"/>
      <c r="T22" s="311" t="str">
        <f ca="1">IF(AND('Mapa final'!$H$10="Media",'Mapa final'!$L$10="Menor"),CONCATENATE("R",'Mapa final'!$A$10),"")</f>
        <v/>
      </c>
      <c r="U22" s="312"/>
      <c r="V22" s="310" t="e">
        <f>IF(AND('Mapa final'!#REF!="Media",'Mapa final'!#REF!="Moderado"),CONCATENATE("R",'Mapa final'!#REF!),"")</f>
        <v>#REF!</v>
      </c>
      <c r="W22" s="311"/>
      <c r="X22" s="311" t="e">
        <f>IF(AND('Mapa final'!#REF!="Media",'Mapa final'!#REF!="Moderado"),CONCATENATE("R",'Mapa final'!#REF!),"")</f>
        <v>#REF!</v>
      </c>
      <c r="Y22" s="311"/>
      <c r="Z22" s="311" t="str">
        <f ca="1">IF(AND('Mapa final'!$H$10="Media",'Mapa final'!$L$10="Moderado"),CONCATENATE("R",'Mapa final'!$A$10),"")</f>
        <v>R1</v>
      </c>
      <c r="AA22" s="312"/>
      <c r="AB22" s="286" t="e">
        <f>IF(AND('Mapa final'!#REF!="Media",'Mapa final'!#REF!="Mayor"),CONCATENATE("R",'Mapa final'!#REF!),"")</f>
        <v>#REF!</v>
      </c>
      <c r="AC22" s="287"/>
      <c r="AD22" s="287" t="e">
        <f>IF(AND('Mapa final'!#REF!="Media",'Mapa final'!#REF!="Mayor"),CONCATENATE("R",'Mapa final'!#REF!),"")</f>
        <v>#REF!</v>
      </c>
      <c r="AE22" s="287"/>
      <c r="AF22" s="287" t="str">
        <f ca="1">IF(AND('Mapa final'!$H$10="Media",'Mapa final'!$L$10="Mayor"),CONCATENATE("R",'Mapa final'!$A$10),"")</f>
        <v/>
      </c>
      <c r="AG22" s="289"/>
      <c r="AH22" s="301" t="e">
        <f>IF(AND('Mapa final'!#REF!="Media",'Mapa final'!#REF!="Catastrófico"),CONCATENATE("R",'Mapa final'!#REF!),"")</f>
        <v>#REF!</v>
      </c>
      <c r="AI22" s="302"/>
      <c r="AJ22" s="302" t="e">
        <f>IF(AND('Mapa final'!#REF!="Media",'Mapa final'!#REF!="Catastrófico"),CONCATENATE("R",'Mapa final'!#REF!),"")</f>
        <v>#REF!</v>
      </c>
      <c r="AK22" s="302"/>
      <c r="AL22" s="302" t="str">
        <f ca="1">IF(AND('Mapa final'!$H$10="Media",'Mapa final'!$L$10="Catastrófico"),CONCATENATE("R",'Mapa final'!$A$10),"")</f>
        <v/>
      </c>
      <c r="AM22" s="303"/>
      <c r="AN22" s="74"/>
      <c r="AO22" s="257" t="s">
        <v>81</v>
      </c>
      <c r="AP22" s="258"/>
      <c r="AQ22" s="258"/>
      <c r="AR22" s="258"/>
      <c r="AS22" s="258"/>
      <c r="AT22" s="259"/>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74"/>
      <c r="AO23" s="260"/>
      <c r="AP23" s="261"/>
      <c r="AQ23" s="261"/>
      <c r="AR23" s="261"/>
      <c r="AS23" s="261"/>
      <c r="AT23" s="262"/>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37"/>
      <c r="C24" s="237"/>
      <c r="D24" s="238"/>
      <c r="E24" s="278"/>
      <c r="F24" s="279"/>
      <c r="G24" s="279"/>
      <c r="H24" s="279"/>
      <c r="I24" s="280"/>
      <c r="J24" s="304" t="str">
        <f ca="1">IF(AND('Mapa final'!$H$16="Media",'Mapa final'!$L$16="Leve"),CONCATENATE("R",'Mapa final'!$A$16),"")</f>
        <v/>
      </c>
      <c r="K24" s="305"/>
      <c r="L24" s="305" t="str">
        <f ca="1">IF(AND('Mapa final'!$H$22="Media",'Mapa final'!$L$22="Leve"),CONCATENATE("R",'Mapa final'!$A$22),"")</f>
        <v/>
      </c>
      <c r="M24" s="305"/>
      <c r="N24" s="305" t="str">
        <f ca="1">IF(AND('Mapa final'!$H$28="Media",'Mapa final'!$L$28="Leve"),CONCATENATE("R",'Mapa final'!$A$28),"")</f>
        <v/>
      </c>
      <c r="O24" s="306"/>
      <c r="P24" s="304" t="str">
        <f ca="1">IF(AND('Mapa final'!$H$16="Media",'Mapa final'!$L$16="Menor"),CONCATENATE("R",'Mapa final'!$A$16),"")</f>
        <v/>
      </c>
      <c r="Q24" s="305"/>
      <c r="R24" s="305" t="str">
        <f ca="1">IF(AND('Mapa final'!$H$22="Media",'Mapa final'!$L$22="Menor"),CONCATENATE("R",'Mapa final'!$A$22),"")</f>
        <v>R3</v>
      </c>
      <c r="S24" s="305"/>
      <c r="T24" s="305" t="str">
        <f ca="1">IF(AND('Mapa final'!$H$28="Media",'Mapa final'!$L$28="Menor"),CONCATENATE("R",'Mapa final'!$A$28),"")</f>
        <v/>
      </c>
      <c r="U24" s="306"/>
      <c r="V24" s="304" t="str">
        <f ca="1">IF(AND('Mapa final'!$H$16="Media",'Mapa final'!$L$16="Moderado"),CONCATENATE("R",'Mapa final'!$A$16),"")</f>
        <v/>
      </c>
      <c r="W24" s="305"/>
      <c r="X24" s="305" t="str">
        <f ca="1">IF(AND('Mapa final'!$H$22="Media",'Mapa final'!$L$22="Moderado"),CONCATENATE("R",'Mapa final'!$A$22),"")</f>
        <v/>
      </c>
      <c r="Y24" s="305"/>
      <c r="Z24" s="305" t="str">
        <f ca="1">IF(AND('Mapa final'!$H$28="Media",'Mapa final'!$L$28="Moderado"),CONCATENATE("R",'Mapa final'!$A$28),"")</f>
        <v/>
      </c>
      <c r="AA24" s="306"/>
      <c r="AB24" s="288" t="str">
        <f ca="1">IF(AND('Mapa final'!$H$16="Media",'Mapa final'!$L$16="Mayor"),CONCATENATE("R",'Mapa final'!$A$16),"")</f>
        <v>R2</v>
      </c>
      <c r="AC24" s="284"/>
      <c r="AD24" s="284" t="str">
        <f ca="1">IF(AND('Mapa final'!$H$22="Media",'Mapa final'!$L$22="Mayor"),CONCATENATE("R",'Mapa final'!$A$22),"")</f>
        <v/>
      </c>
      <c r="AE24" s="284"/>
      <c r="AF24" s="284" t="str">
        <f ca="1">IF(AND('Mapa final'!$H$28="Media",'Mapa final'!$L$28="Mayor"),CONCATENATE("R",'Mapa final'!$A$28),"")</f>
        <v/>
      </c>
      <c r="AG24" s="285"/>
      <c r="AH24" s="295" t="str">
        <f ca="1">IF(AND('Mapa final'!$H$16="Media",'Mapa final'!$L$16="Catastrófico"),CONCATENATE("R",'Mapa final'!$A$16),"")</f>
        <v/>
      </c>
      <c r="AI24" s="296"/>
      <c r="AJ24" s="296" t="str">
        <f ca="1">IF(AND('Mapa final'!$H$22="Media",'Mapa final'!$L$22="Catastrófico"),CONCATENATE("R",'Mapa final'!$A$22),"")</f>
        <v/>
      </c>
      <c r="AK24" s="296"/>
      <c r="AL24" s="296" t="str">
        <f ca="1">IF(AND('Mapa final'!$H$28="Media",'Mapa final'!$L$28="Catastrófico"),CONCATENATE("R",'Mapa final'!$A$28),"")</f>
        <v/>
      </c>
      <c r="AM24" s="297"/>
      <c r="AN24" s="74"/>
      <c r="AO24" s="260"/>
      <c r="AP24" s="261"/>
      <c r="AQ24" s="261"/>
      <c r="AR24" s="261"/>
      <c r="AS24" s="261"/>
      <c r="AT24" s="262"/>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74"/>
      <c r="AO25" s="260"/>
      <c r="AP25" s="261"/>
      <c r="AQ25" s="261"/>
      <c r="AR25" s="261"/>
      <c r="AS25" s="261"/>
      <c r="AT25" s="262"/>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37"/>
      <c r="C26" s="237"/>
      <c r="D26" s="238"/>
      <c r="E26" s="278"/>
      <c r="F26" s="279"/>
      <c r="G26" s="279"/>
      <c r="H26" s="279"/>
      <c r="I26" s="280"/>
      <c r="J26" s="304" t="str">
        <f ca="1">IF(AND('Mapa final'!$H$34="Media",'Mapa final'!$L$34="Leve"),CONCATENATE("R",'Mapa final'!$A$34),"")</f>
        <v/>
      </c>
      <c r="K26" s="305"/>
      <c r="L26" s="305" t="str">
        <f ca="1">IF(AND('Mapa final'!$H$40="Media",'Mapa final'!$L$40="Leve"),CONCATENATE("R",'Mapa final'!$A$40),"")</f>
        <v/>
      </c>
      <c r="M26" s="305"/>
      <c r="N26" s="305" t="str">
        <f ca="1">IF(AND('Mapa final'!$H$46="Media",'Mapa final'!$L$46="Leve"),CONCATENATE("R",'Mapa final'!$A$46),"")</f>
        <v/>
      </c>
      <c r="O26" s="306"/>
      <c r="P26" s="304" t="str">
        <f ca="1">IF(AND('Mapa final'!$H$34="Media",'Mapa final'!$L$34="Menor"),CONCATENATE("R",'Mapa final'!$A$34),"")</f>
        <v/>
      </c>
      <c r="Q26" s="305"/>
      <c r="R26" s="305" t="str">
        <f ca="1">IF(AND('Mapa final'!$H$40="Media",'Mapa final'!$L$40="Menor"),CONCATENATE("R",'Mapa final'!$A$40),"")</f>
        <v/>
      </c>
      <c r="S26" s="305"/>
      <c r="T26" s="305" t="str">
        <f ca="1">IF(AND('Mapa final'!$H$46="Media",'Mapa final'!$L$46="Menor"),CONCATENATE("R",'Mapa final'!$A$46),"")</f>
        <v/>
      </c>
      <c r="U26" s="306"/>
      <c r="V26" s="304" t="str">
        <f ca="1">IF(AND('Mapa final'!$H$34="Media",'Mapa final'!$L$34="Moderado"),CONCATENATE("R",'Mapa final'!$A$34),"")</f>
        <v/>
      </c>
      <c r="W26" s="305"/>
      <c r="X26" s="305" t="str">
        <f ca="1">IF(AND('Mapa final'!$H$40="Media",'Mapa final'!$L$40="Moderado"),CONCATENATE("R",'Mapa final'!$A$40),"")</f>
        <v/>
      </c>
      <c r="Y26" s="305"/>
      <c r="Z26" s="305" t="str">
        <f ca="1">IF(AND('Mapa final'!$H$46="Media",'Mapa final'!$L$46="Moderado"),CONCATENATE("R",'Mapa final'!$A$46),"")</f>
        <v/>
      </c>
      <c r="AA26" s="306"/>
      <c r="AB26" s="288" t="str">
        <f ca="1">IF(AND('Mapa final'!$H$34="Media",'Mapa final'!$L$34="Mayor"),CONCATENATE("R",'Mapa final'!$A$34),"")</f>
        <v/>
      </c>
      <c r="AC26" s="284"/>
      <c r="AD26" s="284" t="str">
        <f ca="1">IF(AND('Mapa final'!$H$40="Media",'Mapa final'!$L$40="Mayor"),CONCATENATE("R",'Mapa final'!$A$40),"")</f>
        <v/>
      </c>
      <c r="AE26" s="284"/>
      <c r="AF26" s="284" t="str">
        <f ca="1">IF(AND('Mapa final'!$H$46="Media",'Mapa final'!$L$46="Mayor"),CONCATENATE("R",'Mapa final'!$A$46),"")</f>
        <v/>
      </c>
      <c r="AG26" s="285"/>
      <c r="AH26" s="295" t="str">
        <f ca="1">IF(AND('Mapa final'!$H$34="Media",'Mapa final'!$L$34="Catastrófico"),CONCATENATE("R",'Mapa final'!$A$34),"")</f>
        <v/>
      </c>
      <c r="AI26" s="296"/>
      <c r="AJ26" s="296" t="str">
        <f ca="1">IF(AND('Mapa final'!$H$40="Media",'Mapa final'!$L$40="Catastrófico"),CONCATENATE("R",'Mapa final'!$A$40),"")</f>
        <v/>
      </c>
      <c r="AK26" s="296"/>
      <c r="AL26" s="296" t="str">
        <f ca="1">IF(AND('Mapa final'!$H$46="Media",'Mapa final'!$L$46="Catastrófico"),CONCATENATE("R",'Mapa final'!$A$46),"")</f>
        <v/>
      </c>
      <c r="AM26" s="297"/>
      <c r="AN26" s="74"/>
      <c r="AO26" s="260"/>
      <c r="AP26" s="261"/>
      <c r="AQ26" s="261"/>
      <c r="AR26" s="261"/>
      <c r="AS26" s="261"/>
      <c r="AT26" s="262"/>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74"/>
      <c r="AO27" s="260"/>
      <c r="AP27" s="261"/>
      <c r="AQ27" s="261"/>
      <c r="AR27" s="261"/>
      <c r="AS27" s="261"/>
      <c r="AT27" s="262"/>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37"/>
      <c r="C28" s="237"/>
      <c r="D28" s="238"/>
      <c r="E28" s="278"/>
      <c r="F28" s="279"/>
      <c r="G28" s="279"/>
      <c r="H28" s="279"/>
      <c r="I28" s="280"/>
      <c r="J28" s="304" t="str">
        <f ca="1">IF(AND('Mapa final'!$H$52="Media",'Mapa final'!$L$52="Leve"),CONCATENATE("R",'Mapa final'!$A$52),"")</f>
        <v/>
      </c>
      <c r="K28" s="305"/>
      <c r="L28" s="305" t="str">
        <f>IF(AND('Mapa final'!$H$58="Media",'Mapa final'!$L$58="Leve"),CONCATENATE("R",'Mapa final'!$A$58),"")</f>
        <v/>
      </c>
      <c r="M28" s="305"/>
      <c r="N28" s="305" t="str">
        <f>IF(AND('Mapa final'!$H$64="Media",'Mapa final'!$L$64="Leve"),CONCATENATE("R",'Mapa final'!$A$64),"")</f>
        <v/>
      </c>
      <c r="O28" s="306"/>
      <c r="P28" s="304" t="str">
        <f ca="1">IF(AND('Mapa final'!$H$52="Media",'Mapa final'!$L$52="Menor"),CONCATENATE("R",'Mapa final'!$A$52),"")</f>
        <v/>
      </c>
      <c r="Q28" s="305"/>
      <c r="R28" s="305" t="str">
        <f>IF(AND('Mapa final'!$H$58="Media",'Mapa final'!$L$58="Menor"),CONCATENATE("R",'Mapa final'!$A$58),"")</f>
        <v/>
      </c>
      <c r="S28" s="305"/>
      <c r="T28" s="305" t="str">
        <f>IF(AND('Mapa final'!$H$64="Media",'Mapa final'!$L$64="Menor"),CONCATENATE("R",'Mapa final'!$A$64),"")</f>
        <v/>
      </c>
      <c r="U28" s="306"/>
      <c r="V28" s="304" t="str">
        <f ca="1">IF(AND('Mapa final'!$H$52="Media",'Mapa final'!$L$52="Moderado"),CONCATENATE("R",'Mapa final'!$A$52),"")</f>
        <v/>
      </c>
      <c r="W28" s="305"/>
      <c r="X28" s="305" t="str">
        <f>IF(AND('Mapa final'!$H$58="Media",'Mapa final'!$L$58="Moderado"),CONCATENATE("R",'Mapa final'!$A$58),"")</f>
        <v/>
      </c>
      <c r="Y28" s="305"/>
      <c r="Z28" s="305" t="str">
        <f>IF(AND('Mapa final'!$H$64="Media",'Mapa final'!$L$64="Moderado"),CONCATENATE("R",'Mapa final'!$A$64),"")</f>
        <v/>
      </c>
      <c r="AA28" s="306"/>
      <c r="AB28" s="288" t="str">
        <f ca="1">IF(AND('Mapa final'!$H$52="Media",'Mapa final'!$L$52="Mayor"),CONCATENATE("R",'Mapa final'!$A$52),"")</f>
        <v/>
      </c>
      <c r="AC28" s="284"/>
      <c r="AD28" s="284" t="str">
        <f>IF(AND('Mapa final'!$H$58="Media",'Mapa final'!$L$58="Mayor"),CONCATENATE("R",'Mapa final'!$A$58),"")</f>
        <v/>
      </c>
      <c r="AE28" s="284"/>
      <c r="AF28" s="284" t="str">
        <f>IF(AND('Mapa final'!$H$64="Media",'Mapa final'!$L$64="Mayor"),CONCATENATE("R",'Mapa final'!$A$64),"")</f>
        <v/>
      </c>
      <c r="AG28" s="285"/>
      <c r="AH28" s="295" t="str">
        <f ca="1">IF(AND('Mapa final'!$H$52="Media",'Mapa final'!$L$52="Catastrófico"),CONCATENATE("R",'Mapa final'!$A$52),"")</f>
        <v/>
      </c>
      <c r="AI28" s="296"/>
      <c r="AJ28" s="296" t="str">
        <f>IF(AND('Mapa final'!$H$58="Media",'Mapa final'!$L$58="Catastrófico"),CONCATENATE("R",'Mapa final'!$A$58),"")</f>
        <v/>
      </c>
      <c r="AK28" s="296"/>
      <c r="AL28" s="296" t="str">
        <f>IF(AND('Mapa final'!$H$64="Media",'Mapa final'!$L$64="Catastrófico"),CONCATENATE("R",'Mapa final'!$A$64),"")</f>
        <v/>
      </c>
      <c r="AM28" s="297"/>
      <c r="AN28" s="74"/>
      <c r="AO28" s="260"/>
      <c r="AP28" s="261"/>
      <c r="AQ28" s="261"/>
      <c r="AR28" s="261"/>
      <c r="AS28" s="261"/>
      <c r="AT28" s="262"/>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74"/>
      <c r="AO29" s="263"/>
      <c r="AP29" s="264"/>
      <c r="AQ29" s="264"/>
      <c r="AR29" s="264"/>
      <c r="AS29" s="264"/>
      <c r="AT29" s="265"/>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37"/>
      <c r="C30" s="237"/>
      <c r="D30" s="238"/>
      <c r="E30" s="275" t="s">
        <v>112</v>
      </c>
      <c r="F30" s="276"/>
      <c r="G30" s="276"/>
      <c r="H30" s="276"/>
      <c r="I30" s="276"/>
      <c r="J30" s="319" t="e">
        <f>IF(AND('Mapa final'!#REF!="Baja",'Mapa final'!#REF!="Leve"),CONCATENATE("R",'Mapa final'!#REF!),"")</f>
        <v>#REF!</v>
      </c>
      <c r="K30" s="320"/>
      <c r="L30" s="320" t="e">
        <f>IF(AND('Mapa final'!#REF!="Baja",'Mapa final'!#REF!="Leve"),CONCATENATE("R",'Mapa final'!#REF!),"")</f>
        <v>#REF!</v>
      </c>
      <c r="M30" s="320"/>
      <c r="N30" s="320" t="str">
        <f ca="1">IF(AND('Mapa final'!$H$10="Baja",'Mapa final'!$L$10="Leve"),CONCATENATE("R",'Mapa final'!$A$10),"")</f>
        <v/>
      </c>
      <c r="O30" s="321"/>
      <c r="P30" s="311" t="e">
        <f>IF(AND('Mapa final'!#REF!="Baja",'Mapa final'!#REF!="Menor"),CONCATENATE("R",'Mapa final'!#REF!),"")</f>
        <v>#REF!</v>
      </c>
      <c r="Q30" s="311"/>
      <c r="R30" s="311" t="e">
        <f>IF(AND('Mapa final'!#REF!="Baja",'Mapa final'!#REF!="Menor"),CONCATENATE("R",'Mapa final'!#REF!),"")</f>
        <v>#REF!</v>
      </c>
      <c r="S30" s="311"/>
      <c r="T30" s="311" t="str">
        <f ca="1">IF(AND('Mapa final'!$H$10="Baja",'Mapa final'!$L$10="Menor"),CONCATENATE("R",'Mapa final'!$A$10),"")</f>
        <v/>
      </c>
      <c r="U30" s="312"/>
      <c r="V30" s="310" t="e">
        <f>IF(AND('Mapa final'!#REF!="Baja",'Mapa final'!#REF!="Moderado"),CONCATENATE("R",'Mapa final'!#REF!),"")</f>
        <v>#REF!</v>
      </c>
      <c r="W30" s="311"/>
      <c r="X30" s="311" t="e">
        <f>IF(AND('Mapa final'!#REF!="Baja",'Mapa final'!#REF!="Moderado"),CONCATENATE("R",'Mapa final'!#REF!),"")</f>
        <v>#REF!</v>
      </c>
      <c r="Y30" s="311"/>
      <c r="Z30" s="311" t="str">
        <f ca="1">IF(AND('Mapa final'!$H$10="Baja",'Mapa final'!$L$10="Moderado"),CONCATENATE("R",'Mapa final'!$A$10),"")</f>
        <v/>
      </c>
      <c r="AA30" s="312"/>
      <c r="AB30" s="286" t="e">
        <f>IF(AND('Mapa final'!#REF!="Baja",'Mapa final'!#REF!="Mayor"),CONCATENATE("R",'Mapa final'!#REF!),"")</f>
        <v>#REF!</v>
      </c>
      <c r="AC30" s="287"/>
      <c r="AD30" s="287" t="e">
        <f>IF(AND('Mapa final'!#REF!="Baja",'Mapa final'!#REF!="Mayor"),CONCATENATE("R",'Mapa final'!#REF!),"")</f>
        <v>#REF!</v>
      </c>
      <c r="AE30" s="287"/>
      <c r="AF30" s="287" t="str">
        <f ca="1">IF(AND('Mapa final'!$H$10="Baja",'Mapa final'!$L$10="Mayor"),CONCATENATE("R",'Mapa final'!$A$10),"")</f>
        <v/>
      </c>
      <c r="AG30" s="289"/>
      <c r="AH30" s="301" t="e">
        <f>IF(AND('Mapa final'!#REF!="Baja",'Mapa final'!#REF!="Catastrófico"),CONCATENATE("R",'Mapa final'!#REF!),"")</f>
        <v>#REF!</v>
      </c>
      <c r="AI30" s="302"/>
      <c r="AJ30" s="302" t="e">
        <f>IF(AND('Mapa final'!#REF!="Baja",'Mapa final'!#REF!="Catastrófico"),CONCATENATE("R",'Mapa final'!#REF!),"")</f>
        <v>#REF!</v>
      </c>
      <c r="AK30" s="302"/>
      <c r="AL30" s="302" t="str">
        <f ca="1">IF(AND('Mapa final'!$H$10="Baja",'Mapa final'!$L$10="Catastrófico"),CONCATENATE("R",'Mapa final'!$A$10),"")</f>
        <v/>
      </c>
      <c r="AM30" s="303"/>
      <c r="AN30" s="74"/>
      <c r="AO30" s="266" t="s">
        <v>82</v>
      </c>
      <c r="AP30" s="267"/>
      <c r="AQ30" s="267"/>
      <c r="AR30" s="267"/>
      <c r="AS30" s="267"/>
      <c r="AT30" s="26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74"/>
      <c r="AO31" s="269"/>
      <c r="AP31" s="270"/>
      <c r="AQ31" s="270"/>
      <c r="AR31" s="270"/>
      <c r="AS31" s="270"/>
      <c r="AT31" s="271"/>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37"/>
      <c r="C32" s="237"/>
      <c r="D32" s="238"/>
      <c r="E32" s="278"/>
      <c r="F32" s="279"/>
      <c r="G32" s="279"/>
      <c r="H32" s="279"/>
      <c r="I32" s="279"/>
      <c r="J32" s="315" t="str">
        <f ca="1">IF(AND('Mapa final'!$H$16="Baja",'Mapa final'!$L$16="Leve"),CONCATENATE("R",'Mapa final'!$A$16),"")</f>
        <v/>
      </c>
      <c r="K32" s="313"/>
      <c r="L32" s="313" t="str">
        <f ca="1">IF(AND('Mapa final'!$H$22="Baja",'Mapa final'!$L$22="Leve"),CONCATENATE("R",'Mapa final'!$A$22),"")</f>
        <v/>
      </c>
      <c r="M32" s="313"/>
      <c r="N32" s="313" t="str">
        <f ca="1">IF(AND('Mapa final'!$H$28="Baja",'Mapa final'!$L$28="Leve"),CONCATENATE("R",'Mapa final'!$A$28),"")</f>
        <v/>
      </c>
      <c r="O32" s="314"/>
      <c r="P32" s="305" t="str">
        <f ca="1">IF(AND('Mapa final'!$H$16="Baja",'Mapa final'!$L$16="Menor"),CONCATENATE("R",'Mapa final'!$A$16),"")</f>
        <v/>
      </c>
      <c r="Q32" s="305"/>
      <c r="R32" s="305" t="str">
        <f ca="1">IF(AND('Mapa final'!$H$22="Baja",'Mapa final'!$L$22="Menor"),CONCATENATE("R",'Mapa final'!$A$22),"")</f>
        <v/>
      </c>
      <c r="S32" s="305"/>
      <c r="T32" s="305" t="str">
        <f ca="1">IF(AND('Mapa final'!$H$28="Baja",'Mapa final'!$L$28="Menor"),CONCATENATE("R",'Mapa final'!$A$28),"")</f>
        <v/>
      </c>
      <c r="U32" s="306"/>
      <c r="V32" s="304" t="str">
        <f ca="1">IF(AND('Mapa final'!$H$16="Baja",'Mapa final'!$L$16="Moderado"),CONCATENATE("R",'Mapa final'!$A$16),"")</f>
        <v/>
      </c>
      <c r="W32" s="305"/>
      <c r="X32" s="305" t="str">
        <f ca="1">IF(AND('Mapa final'!$H$22="Baja",'Mapa final'!$L$22="Moderado"),CONCATENATE("R",'Mapa final'!$A$22),"")</f>
        <v/>
      </c>
      <c r="Y32" s="305"/>
      <c r="Z32" s="305" t="str">
        <f ca="1">IF(AND('Mapa final'!$H$28="Baja",'Mapa final'!$L$28="Moderado"),CONCATENATE("R",'Mapa final'!$A$28),"")</f>
        <v/>
      </c>
      <c r="AA32" s="306"/>
      <c r="AB32" s="288" t="str">
        <f ca="1">IF(AND('Mapa final'!$H$16="Baja",'Mapa final'!$L$16="Mayor"),CONCATENATE("R",'Mapa final'!$A$16),"")</f>
        <v/>
      </c>
      <c r="AC32" s="284"/>
      <c r="AD32" s="284" t="str">
        <f ca="1">IF(AND('Mapa final'!$H$22="Baja",'Mapa final'!$L$22="Mayor"),CONCATENATE("R",'Mapa final'!$A$22),"")</f>
        <v/>
      </c>
      <c r="AE32" s="284"/>
      <c r="AF32" s="284" t="str">
        <f ca="1">IF(AND('Mapa final'!$H$28="Baja",'Mapa final'!$L$28="Mayor"),CONCATENATE("R",'Mapa final'!$A$28),"")</f>
        <v/>
      </c>
      <c r="AG32" s="285"/>
      <c r="AH32" s="295" t="str">
        <f ca="1">IF(AND('Mapa final'!$H$16="Baja",'Mapa final'!$L$16="Catastrófico"),CONCATENATE("R",'Mapa final'!$A$16),"")</f>
        <v/>
      </c>
      <c r="AI32" s="296"/>
      <c r="AJ32" s="296" t="str">
        <f ca="1">IF(AND('Mapa final'!$H$22="Baja",'Mapa final'!$L$22="Catastrófico"),CONCATENATE("R",'Mapa final'!$A$22),"")</f>
        <v/>
      </c>
      <c r="AK32" s="296"/>
      <c r="AL32" s="296" t="str">
        <f ca="1">IF(AND('Mapa final'!$H$28="Baja",'Mapa final'!$L$28="Catastrófico"),CONCATENATE("R",'Mapa final'!$A$28),"")</f>
        <v/>
      </c>
      <c r="AM32" s="297"/>
      <c r="AN32" s="74"/>
      <c r="AO32" s="269"/>
      <c r="AP32" s="270"/>
      <c r="AQ32" s="270"/>
      <c r="AR32" s="270"/>
      <c r="AS32" s="270"/>
      <c r="AT32" s="271"/>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74"/>
      <c r="AO33" s="269"/>
      <c r="AP33" s="270"/>
      <c r="AQ33" s="270"/>
      <c r="AR33" s="270"/>
      <c r="AS33" s="270"/>
      <c r="AT33" s="271"/>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37"/>
      <c r="C34" s="237"/>
      <c r="D34" s="238"/>
      <c r="E34" s="278"/>
      <c r="F34" s="279"/>
      <c r="G34" s="279"/>
      <c r="H34" s="279"/>
      <c r="I34" s="279"/>
      <c r="J34" s="315" t="str">
        <f ca="1">IF(AND('Mapa final'!$H$34="Baja",'Mapa final'!$L$34="Leve"),CONCATENATE("R",'Mapa final'!$A$34),"")</f>
        <v/>
      </c>
      <c r="K34" s="313"/>
      <c r="L34" s="313" t="str">
        <f ca="1">IF(AND('Mapa final'!$H$40="Baja",'Mapa final'!$L$40="Leve"),CONCATENATE("R",'Mapa final'!$A$40),"")</f>
        <v/>
      </c>
      <c r="M34" s="313"/>
      <c r="N34" s="313" t="str">
        <f ca="1">IF(AND('Mapa final'!$H$46="Baja",'Mapa final'!$L$46="Leve"),CONCATENATE("R",'Mapa final'!$A$46),"")</f>
        <v/>
      </c>
      <c r="O34" s="314"/>
      <c r="P34" s="305" t="str">
        <f ca="1">IF(AND('Mapa final'!$H$34="Baja",'Mapa final'!$L$34="Menor"),CONCATENATE("R",'Mapa final'!$A$34),"")</f>
        <v/>
      </c>
      <c r="Q34" s="305"/>
      <c r="R34" s="305" t="str">
        <f ca="1">IF(AND('Mapa final'!$H$40="Baja",'Mapa final'!$L$40="Menor"),CONCATENATE("R",'Mapa final'!$A$40),"")</f>
        <v/>
      </c>
      <c r="S34" s="305"/>
      <c r="T34" s="305" t="str">
        <f ca="1">IF(AND('Mapa final'!$H$46="Baja",'Mapa final'!$L$46="Menor"),CONCATENATE("R",'Mapa final'!$A$46),"")</f>
        <v/>
      </c>
      <c r="U34" s="306"/>
      <c r="V34" s="304" t="str">
        <f ca="1">IF(AND('Mapa final'!$H$34="Baja",'Mapa final'!$L$34="Moderado"),CONCATENATE("R",'Mapa final'!$A$34),"")</f>
        <v/>
      </c>
      <c r="W34" s="305"/>
      <c r="X34" s="305" t="str">
        <f ca="1">IF(AND('Mapa final'!$H$40="Baja",'Mapa final'!$L$40="Moderado"),CONCATENATE("R",'Mapa final'!$A$40),"")</f>
        <v/>
      </c>
      <c r="Y34" s="305"/>
      <c r="Z34" s="305" t="str">
        <f ca="1">IF(AND('Mapa final'!$H$46="Baja",'Mapa final'!$L$46="Moderado"),CONCATENATE("R",'Mapa final'!$A$46),"")</f>
        <v/>
      </c>
      <c r="AA34" s="306"/>
      <c r="AB34" s="288" t="str">
        <f ca="1">IF(AND('Mapa final'!$H$34="Baja",'Mapa final'!$L$34="Mayor"),CONCATENATE("R",'Mapa final'!$A$34),"")</f>
        <v/>
      </c>
      <c r="AC34" s="284"/>
      <c r="AD34" s="284" t="str">
        <f ca="1">IF(AND('Mapa final'!$H$40="Baja",'Mapa final'!$L$40="Mayor"),CONCATENATE("R",'Mapa final'!$A$40),"")</f>
        <v/>
      </c>
      <c r="AE34" s="284"/>
      <c r="AF34" s="284" t="str">
        <f ca="1">IF(AND('Mapa final'!$H$46="Baja",'Mapa final'!$L$46="Mayor"),CONCATENATE("R",'Mapa final'!$A$46),"")</f>
        <v/>
      </c>
      <c r="AG34" s="285"/>
      <c r="AH34" s="295" t="str">
        <f ca="1">IF(AND('Mapa final'!$H$34="Baja",'Mapa final'!$L$34="Catastrófico"),CONCATENATE("R",'Mapa final'!$A$34),"")</f>
        <v/>
      </c>
      <c r="AI34" s="296"/>
      <c r="AJ34" s="296" t="str">
        <f ca="1">IF(AND('Mapa final'!$H$40="Baja",'Mapa final'!$L$40="Catastrófico"),CONCATENATE("R",'Mapa final'!$A$40),"")</f>
        <v/>
      </c>
      <c r="AK34" s="296"/>
      <c r="AL34" s="296" t="str">
        <f ca="1">IF(AND('Mapa final'!$H$46="Baja",'Mapa final'!$L$46="Catastrófico"),CONCATENATE("R",'Mapa final'!$A$46),"")</f>
        <v/>
      </c>
      <c r="AM34" s="297"/>
      <c r="AN34" s="74"/>
      <c r="AO34" s="269"/>
      <c r="AP34" s="270"/>
      <c r="AQ34" s="270"/>
      <c r="AR34" s="270"/>
      <c r="AS34" s="270"/>
      <c r="AT34" s="271"/>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74"/>
      <c r="AO35" s="269"/>
      <c r="AP35" s="270"/>
      <c r="AQ35" s="270"/>
      <c r="AR35" s="270"/>
      <c r="AS35" s="270"/>
      <c r="AT35" s="27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37"/>
      <c r="C36" s="237"/>
      <c r="D36" s="238"/>
      <c r="E36" s="278"/>
      <c r="F36" s="279"/>
      <c r="G36" s="279"/>
      <c r="H36" s="279"/>
      <c r="I36" s="279"/>
      <c r="J36" s="315" t="str">
        <f ca="1">IF(AND('Mapa final'!$H$52="Baja",'Mapa final'!$L$52="Leve"),CONCATENATE("R",'Mapa final'!$A$52),"")</f>
        <v/>
      </c>
      <c r="K36" s="313"/>
      <c r="L36" s="313" t="str">
        <f>IF(AND('Mapa final'!$H$58="Baja",'Mapa final'!$L$58="Leve"),CONCATENATE("R",'Mapa final'!$A$58),"")</f>
        <v/>
      </c>
      <c r="M36" s="313"/>
      <c r="N36" s="313" t="str">
        <f>IF(AND('Mapa final'!$H$64="Baja",'Mapa final'!$L$64="Leve"),CONCATENATE("R",'Mapa final'!$A$64),"")</f>
        <v/>
      </c>
      <c r="O36" s="314"/>
      <c r="P36" s="305" t="str">
        <f ca="1">IF(AND('Mapa final'!$H$52="Baja",'Mapa final'!$L$52="Menor"),CONCATENATE("R",'Mapa final'!$A$52),"")</f>
        <v/>
      </c>
      <c r="Q36" s="305"/>
      <c r="R36" s="305" t="str">
        <f>IF(AND('Mapa final'!$H$58="Baja",'Mapa final'!$L$58="Menor"),CONCATENATE("R",'Mapa final'!$A$58),"")</f>
        <v/>
      </c>
      <c r="S36" s="305"/>
      <c r="T36" s="305" t="str">
        <f>IF(AND('Mapa final'!$H$64="Baja",'Mapa final'!$L$64="Menor"),CONCATENATE("R",'Mapa final'!$A$64),"")</f>
        <v/>
      </c>
      <c r="U36" s="306"/>
      <c r="V36" s="304" t="str">
        <f ca="1">IF(AND('Mapa final'!$H$52="Baja",'Mapa final'!$L$52="Moderado"),CONCATENATE("R",'Mapa final'!$A$52),"")</f>
        <v/>
      </c>
      <c r="W36" s="305"/>
      <c r="X36" s="305" t="str">
        <f>IF(AND('Mapa final'!$H$58="Baja",'Mapa final'!$L$58="Moderado"),CONCATENATE("R",'Mapa final'!$A$58),"")</f>
        <v/>
      </c>
      <c r="Y36" s="305"/>
      <c r="Z36" s="305" t="str">
        <f>IF(AND('Mapa final'!$H$64="Baja",'Mapa final'!$L$64="Moderado"),CONCATENATE("R",'Mapa final'!$A$64),"")</f>
        <v/>
      </c>
      <c r="AA36" s="306"/>
      <c r="AB36" s="288" t="str">
        <f ca="1">IF(AND('Mapa final'!$H$52="Baja",'Mapa final'!$L$52="Mayor"),CONCATENATE("R",'Mapa final'!$A$52),"")</f>
        <v/>
      </c>
      <c r="AC36" s="284"/>
      <c r="AD36" s="284" t="str">
        <f>IF(AND('Mapa final'!$H$58="Baja",'Mapa final'!$L$58="Mayor"),CONCATENATE("R",'Mapa final'!$A$58),"")</f>
        <v/>
      </c>
      <c r="AE36" s="284"/>
      <c r="AF36" s="284" t="str">
        <f>IF(AND('Mapa final'!$H$64="Baja",'Mapa final'!$L$64="Mayor"),CONCATENATE("R",'Mapa final'!$A$64),"")</f>
        <v/>
      </c>
      <c r="AG36" s="285"/>
      <c r="AH36" s="295" t="str">
        <f ca="1">IF(AND('Mapa final'!$H$52="Baja",'Mapa final'!$L$52="Catastrófico"),CONCATENATE("R",'Mapa final'!$A$52),"")</f>
        <v/>
      </c>
      <c r="AI36" s="296"/>
      <c r="AJ36" s="296" t="str">
        <f>IF(AND('Mapa final'!$H$58="Baja",'Mapa final'!$L$58="Catastrófico"),CONCATENATE("R",'Mapa final'!$A$58),"")</f>
        <v/>
      </c>
      <c r="AK36" s="296"/>
      <c r="AL36" s="296" t="str">
        <f>IF(AND('Mapa final'!$H$64="Baja",'Mapa final'!$L$64="Catastrófico"),CONCATENATE("R",'Mapa final'!$A$64),"")</f>
        <v/>
      </c>
      <c r="AM36" s="297"/>
      <c r="AN36" s="74"/>
      <c r="AO36" s="269"/>
      <c r="AP36" s="270"/>
      <c r="AQ36" s="270"/>
      <c r="AR36" s="270"/>
      <c r="AS36" s="270"/>
      <c r="AT36" s="271"/>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74"/>
      <c r="AO37" s="272"/>
      <c r="AP37" s="273"/>
      <c r="AQ37" s="273"/>
      <c r="AR37" s="273"/>
      <c r="AS37" s="273"/>
      <c r="AT37" s="2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37"/>
      <c r="C38" s="237"/>
      <c r="D38" s="238"/>
      <c r="E38" s="275" t="s">
        <v>111</v>
      </c>
      <c r="F38" s="276"/>
      <c r="G38" s="276"/>
      <c r="H38" s="276"/>
      <c r="I38" s="277"/>
      <c r="J38" s="319" t="e">
        <f>IF(AND('Mapa final'!#REF!="Muy Baja",'Mapa final'!#REF!="Leve"),CONCATENATE("R",'Mapa final'!#REF!),"")</f>
        <v>#REF!</v>
      </c>
      <c r="K38" s="320"/>
      <c r="L38" s="320" t="e">
        <f>IF(AND('Mapa final'!#REF!="Muy Baja",'Mapa final'!#REF!="Leve"),CONCATENATE("R",'Mapa final'!#REF!),"")</f>
        <v>#REF!</v>
      </c>
      <c r="M38" s="320"/>
      <c r="N38" s="320" t="str">
        <f ca="1">IF(AND('Mapa final'!$H$10="Muy Baja",'Mapa final'!$L$10="Leve"),CONCATENATE("R",'Mapa final'!$A$10),"")</f>
        <v/>
      </c>
      <c r="O38" s="321"/>
      <c r="P38" s="319" t="e">
        <f>IF(AND('Mapa final'!#REF!="Muy Baja",'Mapa final'!#REF!="Menor"),CONCATENATE("R",'Mapa final'!#REF!),"")</f>
        <v>#REF!</v>
      </c>
      <c r="Q38" s="320"/>
      <c r="R38" s="320" t="e">
        <f>IF(AND('Mapa final'!#REF!="Muy Baja",'Mapa final'!#REF!="Menor"),CONCATENATE("R",'Mapa final'!#REF!),"")</f>
        <v>#REF!</v>
      </c>
      <c r="S38" s="320"/>
      <c r="T38" s="320" t="str">
        <f ca="1">IF(AND('Mapa final'!$H$10="Muy Baja",'Mapa final'!$L$10="Menor"),CONCATENATE("R",'Mapa final'!$A$10),"")</f>
        <v/>
      </c>
      <c r="U38" s="321"/>
      <c r="V38" s="310" t="e">
        <f>IF(AND('Mapa final'!#REF!="Muy Baja",'Mapa final'!#REF!="Moderado"),CONCATENATE("R",'Mapa final'!#REF!),"")</f>
        <v>#REF!</v>
      </c>
      <c r="W38" s="311"/>
      <c r="X38" s="311" t="e">
        <f>IF(AND('Mapa final'!#REF!="Muy Baja",'Mapa final'!#REF!="Moderado"),CONCATENATE("R",'Mapa final'!#REF!),"")</f>
        <v>#REF!</v>
      </c>
      <c r="Y38" s="311"/>
      <c r="Z38" s="311" t="str">
        <f ca="1">IF(AND('Mapa final'!$H$10="Muy Baja",'Mapa final'!$L$10="Moderado"),CONCATENATE("R",'Mapa final'!$A$10),"")</f>
        <v/>
      </c>
      <c r="AA38" s="312"/>
      <c r="AB38" s="286" t="e">
        <f>IF(AND('Mapa final'!#REF!="Muy Baja",'Mapa final'!#REF!="Mayor"),CONCATENATE("R",'Mapa final'!#REF!),"")</f>
        <v>#REF!</v>
      </c>
      <c r="AC38" s="287"/>
      <c r="AD38" s="287" t="e">
        <f>IF(AND('Mapa final'!#REF!="Muy Baja",'Mapa final'!#REF!="Mayor"),CONCATENATE("R",'Mapa final'!#REF!),"")</f>
        <v>#REF!</v>
      </c>
      <c r="AE38" s="287"/>
      <c r="AF38" s="287" t="str">
        <f ca="1">IF(AND('Mapa final'!$H$10="Muy Baja",'Mapa final'!$L$10="Mayor"),CONCATENATE("R",'Mapa final'!$A$10),"")</f>
        <v/>
      </c>
      <c r="AG38" s="289"/>
      <c r="AH38" s="301" t="e">
        <f>IF(AND('Mapa final'!#REF!="Muy Baja",'Mapa final'!#REF!="Catastrófico"),CONCATENATE("R",'Mapa final'!#REF!),"")</f>
        <v>#REF!</v>
      </c>
      <c r="AI38" s="302"/>
      <c r="AJ38" s="302" t="e">
        <f>IF(AND('Mapa final'!#REF!="Muy Baja",'Mapa final'!#REF!="Catastrófico"),CONCATENATE("R",'Mapa final'!#REF!),"")</f>
        <v>#REF!</v>
      </c>
      <c r="AK38" s="302"/>
      <c r="AL38" s="302" t="str">
        <f ca="1">IF(AND('Mapa final'!$H$10="Muy Baja",'Mapa final'!$L$10="Catastrófico"),CONCATENATE("R",'Mapa final'!$A$10),"")</f>
        <v/>
      </c>
      <c r="AM38" s="303"/>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37"/>
      <c r="C40" s="237"/>
      <c r="D40" s="238"/>
      <c r="E40" s="278"/>
      <c r="F40" s="279"/>
      <c r="G40" s="279"/>
      <c r="H40" s="279"/>
      <c r="I40" s="280"/>
      <c r="J40" s="315" t="str">
        <f ca="1">IF(AND('Mapa final'!$H$16="Muy Baja",'Mapa final'!$L$16="Leve"),CONCATENATE("R",'Mapa final'!$A$16),"")</f>
        <v/>
      </c>
      <c r="K40" s="313"/>
      <c r="L40" s="313" t="str">
        <f ca="1">IF(AND('Mapa final'!$H$22="Muy Baja",'Mapa final'!$L$22="Leve"),CONCATENATE("R",'Mapa final'!$A$22),"")</f>
        <v/>
      </c>
      <c r="M40" s="313"/>
      <c r="N40" s="313" t="str">
        <f ca="1">IF(AND('Mapa final'!$H$28="Muy Baja",'Mapa final'!$L$28="Leve"),CONCATENATE("R",'Mapa final'!$A$28),"")</f>
        <v/>
      </c>
      <c r="O40" s="314"/>
      <c r="P40" s="315" t="str">
        <f ca="1">IF(AND('Mapa final'!$H$16="Muy Baja",'Mapa final'!$L$16="Menor"),CONCATENATE("R",'Mapa final'!$A$16),"")</f>
        <v/>
      </c>
      <c r="Q40" s="313"/>
      <c r="R40" s="313" t="str">
        <f ca="1">IF(AND('Mapa final'!$H$22="Muy Baja",'Mapa final'!$L$22="Menor"),CONCATENATE("R",'Mapa final'!$A$22),"")</f>
        <v/>
      </c>
      <c r="S40" s="313"/>
      <c r="T40" s="313" t="str">
        <f ca="1">IF(AND('Mapa final'!$H$28="Muy Baja",'Mapa final'!$L$28="Menor"),CONCATENATE("R",'Mapa final'!$A$28),"")</f>
        <v/>
      </c>
      <c r="U40" s="314"/>
      <c r="V40" s="304" t="str">
        <f ca="1">IF(AND('Mapa final'!$H$16="Muy Baja",'Mapa final'!$L$16="Moderado"),CONCATENATE("R",'Mapa final'!$A$16),"")</f>
        <v/>
      </c>
      <c r="W40" s="305"/>
      <c r="X40" s="305" t="str">
        <f ca="1">IF(AND('Mapa final'!$H$22="Muy Baja",'Mapa final'!$L$22="Moderado"),CONCATENATE("R",'Mapa final'!$A$22),"")</f>
        <v/>
      </c>
      <c r="Y40" s="305"/>
      <c r="Z40" s="305" t="str">
        <f ca="1">IF(AND('Mapa final'!$H$28="Muy Baja",'Mapa final'!$L$28="Moderado"),CONCATENATE("R",'Mapa final'!$A$28),"")</f>
        <v/>
      </c>
      <c r="AA40" s="306"/>
      <c r="AB40" s="288" t="str">
        <f ca="1">IF(AND('Mapa final'!$H$16="Muy Baja",'Mapa final'!$L$16="Mayor"),CONCATENATE("R",'Mapa final'!$A$16),"")</f>
        <v/>
      </c>
      <c r="AC40" s="284"/>
      <c r="AD40" s="284" t="str">
        <f ca="1">IF(AND('Mapa final'!$H$22="Muy Baja",'Mapa final'!$L$22="Mayor"),CONCATENATE("R",'Mapa final'!$A$22),"")</f>
        <v/>
      </c>
      <c r="AE40" s="284"/>
      <c r="AF40" s="284" t="str">
        <f ca="1">IF(AND('Mapa final'!$H$28="Muy Baja",'Mapa final'!$L$28="Mayor"),CONCATENATE("R",'Mapa final'!$A$28),"")</f>
        <v/>
      </c>
      <c r="AG40" s="285"/>
      <c r="AH40" s="295" t="str">
        <f ca="1">IF(AND('Mapa final'!$H$16="Muy Baja",'Mapa final'!$L$16="Catastrófico"),CONCATENATE("R",'Mapa final'!$A$16),"")</f>
        <v/>
      </c>
      <c r="AI40" s="296"/>
      <c r="AJ40" s="296" t="str">
        <f ca="1">IF(AND('Mapa final'!$H$22="Muy Baja",'Mapa final'!$L$22="Catastrófico"),CONCATENATE("R",'Mapa final'!$A$22),"")</f>
        <v/>
      </c>
      <c r="AK40" s="296"/>
      <c r="AL40" s="296" t="str">
        <f ca="1">IF(AND('Mapa final'!$H$28="Muy Baja",'Mapa final'!$L$28="Catastrófico"),CONCATENATE("R",'Mapa final'!$A$28),"")</f>
        <v/>
      </c>
      <c r="AM40" s="297"/>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37"/>
      <c r="C42" s="237"/>
      <c r="D42" s="238"/>
      <c r="E42" s="278"/>
      <c r="F42" s="279"/>
      <c r="G42" s="279"/>
      <c r="H42" s="279"/>
      <c r="I42" s="280"/>
      <c r="J42" s="315" t="str">
        <f ca="1">IF(AND('Mapa final'!$H$34="Muy Baja",'Mapa final'!$L$34="Leve"),CONCATENATE("R",'Mapa final'!$A$34),"")</f>
        <v/>
      </c>
      <c r="K42" s="313"/>
      <c r="L42" s="313" t="str">
        <f ca="1">IF(AND('Mapa final'!$H$40="Muy Baja",'Mapa final'!$L$40="Leve"),CONCATENATE("R",'Mapa final'!$A$40),"")</f>
        <v/>
      </c>
      <c r="M42" s="313"/>
      <c r="N42" s="313" t="str">
        <f ca="1">IF(AND('Mapa final'!$H$46="Muy Baja",'Mapa final'!$L$46="Leve"),CONCATENATE("R",'Mapa final'!$A$46),"")</f>
        <v/>
      </c>
      <c r="O42" s="314"/>
      <c r="P42" s="315" t="str">
        <f ca="1">IF(AND('Mapa final'!$H$34="Muy Baja",'Mapa final'!$L$34="Menor"),CONCATENATE("R",'Mapa final'!$A$34),"")</f>
        <v/>
      </c>
      <c r="Q42" s="313"/>
      <c r="R42" s="313" t="str">
        <f ca="1">IF(AND('Mapa final'!$H$40="Muy Baja",'Mapa final'!$L$40="Menor"),CONCATENATE("R",'Mapa final'!$A$40),"")</f>
        <v/>
      </c>
      <c r="S42" s="313"/>
      <c r="T42" s="313" t="str">
        <f ca="1">IF(AND('Mapa final'!$H$46="Muy Baja",'Mapa final'!$L$46="Menor"),CONCATENATE("R",'Mapa final'!$A$46),"")</f>
        <v/>
      </c>
      <c r="U42" s="314"/>
      <c r="V42" s="304" t="str">
        <f ca="1">IF(AND('Mapa final'!$H$34="Muy Baja",'Mapa final'!$L$34="Moderado"),CONCATENATE("R",'Mapa final'!$A$34),"")</f>
        <v/>
      </c>
      <c r="W42" s="305"/>
      <c r="X42" s="305" t="str">
        <f ca="1">IF(AND('Mapa final'!$H$40="Muy Baja",'Mapa final'!$L$40="Moderado"),CONCATENATE("R",'Mapa final'!$A$40),"")</f>
        <v/>
      </c>
      <c r="Y42" s="305"/>
      <c r="Z42" s="305" t="str">
        <f ca="1">IF(AND('Mapa final'!$H$46="Muy Baja",'Mapa final'!$L$46="Moderado"),CONCATENATE("R",'Mapa final'!$A$46),"")</f>
        <v/>
      </c>
      <c r="AA42" s="306"/>
      <c r="AB42" s="288" t="str">
        <f ca="1">IF(AND('Mapa final'!$H$34="Muy Baja",'Mapa final'!$L$34="Mayor"),CONCATENATE("R",'Mapa final'!$A$34),"")</f>
        <v/>
      </c>
      <c r="AC42" s="284"/>
      <c r="AD42" s="284" t="str">
        <f ca="1">IF(AND('Mapa final'!$H$40="Muy Baja",'Mapa final'!$L$40="Mayor"),CONCATENATE("R",'Mapa final'!$A$40),"")</f>
        <v/>
      </c>
      <c r="AE42" s="284"/>
      <c r="AF42" s="284" t="str">
        <f ca="1">IF(AND('Mapa final'!$H$46="Muy Baja",'Mapa final'!$L$46="Mayor"),CONCATENATE("R",'Mapa final'!$A$46),"")</f>
        <v/>
      </c>
      <c r="AG42" s="285"/>
      <c r="AH42" s="295" t="str">
        <f ca="1">IF(AND('Mapa final'!$H$34="Muy Baja",'Mapa final'!$L$34="Catastrófico"),CONCATENATE("R",'Mapa final'!$A$34),"")</f>
        <v/>
      </c>
      <c r="AI42" s="296"/>
      <c r="AJ42" s="296" t="str">
        <f ca="1">IF(AND('Mapa final'!$H$40="Muy Baja",'Mapa final'!$L$40="Catastrófico"),CONCATENATE("R",'Mapa final'!$A$40),"")</f>
        <v/>
      </c>
      <c r="AK42" s="296"/>
      <c r="AL42" s="296" t="str">
        <f ca="1">IF(AND('Mapa final'!$H$46="Muy Baja",'Mapa final'!$L$46="Catastrófico"),CONCATENATE("R",'Mapa final'!$A$46),"")</f>
        <v/>
      </c>
      <c r="AM42" s="297"/>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37"/>
      <c r="C44" s="237"/>
      <c r="D44" s="238"/>
      <c r="E44" s="278"/>
      <c r="F44" s="279"/>
      <c r="G44" s="279"/>
      <c r="H44" s="279"/>
      <c r="I44" s="280"/>
      <c r="J44" s="315" t="str">
        <f ca="1">IF(AND('Mapa final'!$H$52="Muy Baja",'Mapa final'!$L$52="Leve"),CONCATENATE("R",'Mapa final'!$A$52),"")</f>
        <v/>
      </c>
      <c r="K44" s="313"/>
      <c r="L44" s="313" t="str">
        <f>IF(AND('Mapa final'!$H$58="Muy Baja",'Mapa final'!$L$58="Leve"),CONCATENATE("R",'Mapa final'!$A$58),"")</f>
        <v/>
      </c>
      <c r="M44" s="313"/>
      <c r="N44" s="313" t="str">
        <f>IF(AND('Mapa final'!$H$64="Muy Baja",'Mapa final'!$L$64="Leve"),CONCATENATE("R",'Mapa final'!$A$64),"")</f>
        <v/>
      </c>
      <c r="O44" s="314"/>
      <c r="P44" s="315" t="str">
        <f ca="1">IF(AND('Mapa final'!$H$52="Muy Baja",'Mapa final'!$L$52="Menor"),CONCATENATE("R",'Mapa final'!$A$52),"")</f>
        <v/>
      </c>
      <c r="Q44" s="313"/>
      <c r="R44" s="313" t="str">
        <f>IF(AND('Mapa final'!$H$58="Muy Baja",'Mapa final'!$L$58="Menor"),CONCATENATE("R",'Mapa final'!$A$58),"")</f>
        <v/>
      </c>
      <c r="S44" s="313"/>
      <c r="T44" s="313" t="str">
        <f>IF(AND('Mapa final'!$H$64="Muy Baja",'Mapa final'!$L$64="Menor"),CONCATENATE("R",'Mapa final'!$A$64),"")</f>
        <v/>
      </c>
      <c r="U44" s="314"/>
      <c r="V44" s="304" t="str">
        <f ca="1">IF(AND('Mapa final'!$H$52="Muy Baja",'Mapa final'!$L$52="Moderado"),CONCATENATE("R",'Mapa final'!$A$52),"")</f>
        <v/>
      </c>
      <c r="W44" s="305"/>
      <c r="X44" s="305" t="str">
        <f>IF(AND('Mapa final'!$H$58="Muy Baja",'Mapa final'!$L$58="Moderado"),CONCATENATE("R",'Mapa final'!$A$58),"")</f>
        <v/>
      </c>
      <c r="Y44" s="305"/>
      <c r="Z44" s="305" t="str">
        <f>IF(AND('Mapa final'!$H$64="Muy Baja",'Mapa final'!$L$64="Moderado"),CONCATENATE("R",'Mapa final'!$A$64),"")</f>
        <v/>
      </c>
      <c r="AA44" s="306"/>
      <c r="AB44" s="288" t="str">
        <f ca="1">IF(AND('Mapa final'!$H$52="Muy Baja",'Mapa final'!$L$52="Mayor"),CONCATENATE("R",'Mapa final'!$A$52),"")</f>
        <v/>
      </c>
      <c r="AC44" s="284"/>
      <c r="AD44" s="284" t="str">
        <f>IF(AND('Mapa final'!$H$58="Muy Baja",'Mapa final'!$L$58="Mayor"),CONCATENATE("R",'Mapa final'!$A$58),"")</f>
        <v/>
      </c>
      <c r="AE44" s="284"/>
      <c r="AF44" s="284" t="str">
        <f>IF(AND('Mapa final'!$H$64="Muy Baja",'Mapa final'!$L$64="Mayor"),CONCATENATE("R",'Mapa final'!$A$64),"")</f>
        <v/>
      </c>
      <c r="AG44" s="285"/>
      <c r="AH44" s="295" t="str">
        <f ca="1">IF(AND('Mapa final'!$H$52="Muy Baja",'Mapa final'!$L$52="Catastrófico"),CONCATENATE("R",'Mapa final'!$A$52),"")</f>
        <v/>
      </c>
      <c r="AI44" s="296"/>
      <c r="AJ44" s="296" t="str">
        <f>IF(AND('Mapa final'!$H$58="Muy Baja",'Mapa final'!$L$58="Catastrófico"),CONCATENATE("R",'Mapa final'!$A$58),"")</f>
        <v/>
      </c>
      <c r="AK44" s="296"/>
      <c r="AL44" s="296" t="str">
        <f>IF(AND('Mapa final'!$H$64="Muy Baja",'Mapa final'!$L$64="Catastrófico"),CONCATENATE("R",'Mapa final'!$A$64),"")</f>
        <v/>
      </c>
      <c r="AM44" s="297"/>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5" t="s">
        <v>110</v>
      </c>
      <c r="K46" s="276"/>
      <c r="L46" s="276"/>
      <c r="M46" s="276"/>
      <c r="N46" s="276"/>
      <c r="O46" s="277"/>
      <c r="P46" s="275" t="s">
        <v>109</v>
      </c>
      <c r="Q46" s="276"/>
      <c r="R46" s="276"/>
      <c r="S46" s="276"/>
      <c r="T46" s="276"/>
      <c r="U46" s="277"/>
      <c r="V46" s="275" t="s">
        <v>108</v>
      </c>
      <c r="W46" s="276"/>
      <c r="X46" s="276"/>
      <c r="Y46" s="276"/>
      <c r="Z46" s="276"/>
      <c r="AA46" s="277"/>
      <c r="AB46" s="275" t="s">
        <v>107</v>
      </c>
      <c r="AC46" s="291"/>
      <c r="AD46" s="276"/>
      <c r="AE46" s="276"/>
      <c r="AF46" s="276"/>
      <c r="AG46" s="277"/>
      <c r="AH46" s="275" t="s">
        <v>106</v>
      </c>
      <c r="AI46" s="276"/>
      <c r="AJ46" s="276"/>
      <c r="AK46" s="276"/>
      <c r="AL46" s="276"/>
      <c r="AM46" s="277"/>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48" t="s">
        <v>158</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37" t="s">
        <v>4</v>
      </c>
      <c r="C6" s="237"/>
      <c r="D6" s="238"/>
      <c r="E6" s="332" t="s">
        <v>114</v>
      </c>
      <c r="F6" s="333"/>
      <c r="G6" s="333"/>
      <c r="H6" s="333"/>
      <c r="I6" s="350"/>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39" t="s">
        <v>79</v>
      </c>
      <c r="AP6" s="340"/>
      <c r="AQ6" s="340"/>
      <c r="AR6" s="340"/>
      <c r="AS6" s="340"/>
      <c r="AT6" s="3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37"/>
      <c r="C7" s="237"/>
      <c r="D7" s="238"/>
      <c r="E7" s="336"/>
      <c r="F7" s="335"/>
      <c r="G7" s="335"/>
      <c r="H7" s="335"/>
      <c r="I7" s="351"/>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2"/>
      <c r="AP7" s="343"/>
      <c r="AQ7" s="343"/>
      <c r="AR7" s="343"/>
      <c r="AS7" s="343"/>
      <c r="AT7" s="3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37"/>
      <c r="C8" s="237"/>
      <c r="D8" s="238"/>
      <c r="E8" s="336"/>
      <c r="F8" s="335"/>
      <c r="G8" s="335"/>
      <c r="H8" s="335"/>
      <c r="I8" s="351"/>
      <c r="J8" s="43" t="str">
        <f ca="1">IF(AND('Mapa final'!$Y$10="Muy Alta",'Mapa final'!$AA$10="Leve"),CONCATENATE("R3C",'Mapa final'!$O$10),"")</f>
        <v/>
      </c>
      <c r="K8" s="44" t="str">
        <f>IF(AND('Mapa final'!$Y$11="Muy Alta",'Mapa final'!$AA$11="Leve"),CONCATENATE("R3C",'Mapa final'!$O$11),"")</f>
        <v/>
      </c>
      <c r="L8" s="44" t="str">
        <f>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IF(AND('Mapa final'!$Y$11="Muy Alta",'Mapa final'!$AA$11="Menor"),CONCATENATE("R3C",'Mapa final'!$O$11),"")</f>
        <v/>
      </c>
      <c r="R8" s="44" t="str">
        <f>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IF(AND('Mapa final'!$Y$11="Muy Alta",'Mapa final'!$AA$11="Moderado"),CONCATENATE("R3C",'Mapa final'!$O$11),"")</f>
        <v/>
      </c>
      <c r="X8" s="44" t="str">
        <f>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IF(AND('Mapa final'!$Y$11="Muy Alta",'Mapa final'!$AA$11="Mayor"),CONCATENATE("R3C",'Mapa final'!$O$11),"")</f>
        <v/>
      </c>
      <c r="AD8" s="44" t="str">
        <f>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IF(AND('Mapa final'!$Y$11="Muy Alta",'Mapa final'!$AA$11="Catastrófico"),CONCATENATE("R3C",'Mapa final'!$O$11),"")</f>
        <v/>
      </c>
      <c r="AJ8" s="47" t="str">
        <f>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2"/>
      <c r="AP8" s="343"/>
      <c r="AQ8" s="343"/>
      <c r="AR8" s="343"/>
      <c r="AS8" s="343"/>
      <c r="AT8" s="3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37"/>
      <c r="C9" s="237"/>
      <c r="D9" s="238"/>
      <c r="E9" s="336"/>
      <c r="F9" s="335"/>
      <c r="G9" s="335"/>
      <c r="H9" s="335"/>
      <c r="I9" s="351"/>
      <c r="J9" s="43" t="str">
        <f ca="1">IF(AND('Mapa final'!$Y$16="Muy Alta",'Mapa final'!$AA$16="Leve"),CONCATENATE("R4C",'Mapa final'!$O$16),"")</f>
        <v/>
      </c>
      <c r="K9" s="44" t="str">
        <f>IF(AND('Mapa final'!$Y$17="Muy Alta",'Mapa final'!$AA$17="Leve"),CONCATENATE("R4C",'Mapa final'!$O$17),"")</f>
        <v/>
      </c>
      <c r="L9" s="44" t="str">
        <f>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IF(AND('Mapa final'!$Y$17="Muy Alta",'Mapa final'!$AA$17="Menor"),CONCATENATE("R4C",'Mapa final'!$O$17),"")</f>
        <v/>
      </c>
      <c r="R9" s="44" t="str">
        <f>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IF(AND('Mapa final'!$Y$17="Muy Alta",'Mapa final'!$AA$17="Moderado"),CONCATENATE("R4C",'Mapa final'!$O$17),"")</f>
        <v/>
      </c>
      <c r="X9" s="44" t="str">
        <f>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IF(AND('Mapa final'!$Y$17="Muy Alta",'Mapa final'!$AA$17="Mayor"),CONCATENATE("R4C",'Mapa final'!$O$17),"")</f>
        <v/>
      </c>
      <c r="AD9" s="44" t="str">
        <f>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IF(AND('Mapa final'!$Y$17="Muy Alta",'Mapa final'!$AA$17="Catastrófico"),CONCATENATE("R4C",'Mapa final'!$O$17),"")</f>
        <v/>
      </c>
      <c r="AJ9" s="47" t="str">
        <f>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2"/>
      <c r="AP9" s="343"/>
      <c r="AQ9" s="343"/>
      <c r="AR9" s="343"/>
      <c r="AS9" s="343"/>
      <c r="AT9" s="3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37"/>
      <c r="C10" s="237"/>
      <c r="D10" s="238"/>
      <c r="E10" s="336"/>
      <c r="F10" s="335"/>
      <c r="G10" s="335"/>
      <c r="H10" s="335"/>
      <c r="I10" s="351"/>
      <c r="J10" s="43" t="str">
        <f ca="1">IF(AND('Mapa final'!$Y$22="Muy Alta",'Mapa final'!$AA$22="Leve"),CONCATENATE("R5C",'Mapa final'!$O$22),"")</f>
        <v/>
      </c>
      <c r="K10" s="44" t="str">
        <f>IF(AND('Mapa final'!$Y$23="Muy Alta",'Mapa final'!$AA$23="Leve"),CONCATENATE("R5C",'Mapa final'!$O$23),"")</f>
        <v/>
      </c>
      <c r="L10" s="44" t="str">
        <f>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 ca="1">IF(AND('Mapa final'!$Y$22="Muy Alta",'Mapa final'!$AA$22="Menor"),CONCATENATE("R5C",'Mapa final'!$O$22),"")</f>
        <v/>
      </c>
      <c r="Q10" s="44" t="str">
        <f>IF(AND('Mapa final'!$Y$23="Muy Alta",'Mapa final'!$AA$23="Menor"),CONCATENATE("R5C",'Mapa final'!$O$23),"")</f>
        <v/>
      </c>
      <c r="R10" s="44" t="str">
        <f>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 ca="1">IF(AND('Mapa final'!$Y$22="Muy Alta",'Mapa final'!$AA$22="Moderado"),CONCATENATE("R5C",'Mapa final'!$O$22),"")</f>
        <v/>
      </c>
      <c r="W10" s="44" t="str">
        <f>IF(AND('Mapa final'!$Y$23="Muy Alta",'Mapa final'!$AA$23="Moderado"),CONCATENATE("R5C",'Mapa final'!$O$23),"")</f>
        <v/>
      </c>
      <c r="X10" s="44" t="str">
        <f>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 ca="1">IF(AND('Mapa final'!$Y$22="Muy Alta",'Mapa final'!$AA$22="Mayor"),CONCATENATE("R5C",'Mapa final'!$O$22),"")</f>
        <v/>
      </c>
      <c r="AC10" s="44" t="str">
        <f>IF(AND('Mapa final'!$Y$23="Muy Alta",'Mapa final'!$AA$23="Mayor"),CONCATENATE("R5C",'Mapa final'!$O$23),"")</f>
        <v/>
      </c>
      <c r="AD10" s="44" t="str">
        <f>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 ca="1">IF(AND('Mapa final'!$Y$22="Muy Alta",'Mapa final'!$AA$22="Catastrófico"),CONCATENATE("R5C",'Mapa final'!$O$22),"")</f>
        <v/>
      </c>
      <c r="AI10" s="47" t="str">
        <f>IF(AND('Mapa final'!$Y$23="Muy Alta",'Mapa final'!$AA$23="Catastrófico"),CONCATENATE("R5C",'Mapa final'!$O$23),"")</f>
        <v/>
      </c>
      <c r="AJ10" s="47" t="str">
        <f>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2"/>
      <c r="AP10" s="343"/>
      <c r="AQ10" s="343"/>
      <c r="AR10" s="343"/>
      <c r="AS10" s="343"/>
      <c r="AT10" s="3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37"/>
      <c r="C11" s="237"/>
      <c r="D11" s="238"/>
      <c r="E11" s="336"/>
      <c r="F11" s="335"/>
      <c r="G11" s="335"/>
      <c r="H11" s="335"/>
      <c r="I11" s="351"/>
      <c r="J11" s="43" t="str">
        <f>IF(AND('Mapa final'!$Y$28="Muy Alta",'Mapa final'!$AA$28="Leve"),CONCATENATE("R6C",'Mapa final'!$O$28),"")</f>
        <v/>
      </c>
      <c r="K11" s="44" t="str">
        <f>IF(AND('Mapa final'!$Y$29="Muy Alta",'Mapa final'!$AA$29="Leve"),CONCATENATE("R6C",'Mapa final'!$O$29),"")</f>
        <v/>
      </c>
      <c r="L11" s="44" t="str">
        <f>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IF(AND('Mapa final'!$Y$28="Muy Alta",'Mapa final'!$AA$28="Menor"),CONCATENATE("R6C",'Mapa final'!$O$28),"")</f>
        <v/>
      </c>
      <c r="Q11" s="44" t="str">
        <f>IF(AND('Mapa final'!$Y$29="Muy Alta",'Mapa final'!$AA$29="Menor"),CONCATENATE("R6C",'Mapa final'!$O$29),"")</f>
        <v/>
      </c>
      <c r="R11" s="44" t="str">
        <f>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IF(AND('Mapa final'!$Y$28="Muy Alta",'Mapa final'!$AA$28="Moderado"),CONCATENATE("R6C",'Mapa final'!$O$28),"")</f>
        <v/>
      </c>
      <c r="W11" s="44" t="str">
        <f>IF(AND('Mapa final'!$Y$29="Muy Alta",'Mapa final'!$AA$29="Moderado"),CONCATENATE("R6C",'Mapa final'!$O$29),"")</f>
        <v/>
      </c>
      <c r="X11" s="44" t="str">
        <f>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IF(AND('Mapa final'!$Y$28="Muy Alta",'Mapa final'!$AA$28="Mayor"),CONCATENATE("R6C",'Mapa final'!$O$28),"")</f>
        <v/>
      </c>
      <c r="AC11" s="44" t="str">
        <f>IF(AND('Mapa final'!$Y$29="Muy Alta",'Mapa final'!$AA$29="Mayor"),CONCATENATE("R6C",'Mapa final'!$O$29),"")</f>
        <v/>
      </c>
      <c r="AD11" s="44" t="str">
        <f>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IF(AND('Mapa final'!$Y$28="Muy Alta",'Mapa final'!$AA$28="Catastrófico"),CONCATENATE("R6C",'Mapa final'!$O$28),"")</f>
        <v/>
      </c>
      <c r="AI11" s="47" t="str">
        <f>IF(AND('Mapa final'!$Y$29="Muy Alta",'Mapa final'!$AA$29="Catastrófico"),CONCATENATE("R6C",'Mapa final'!$O$29),"")</f>
        <v/>
      </c>
      <c r="AJ11" s="47" t="str">
        <f>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2"/>
      <c r="AP11" s="343"/>
      <c r="AQ11" s="343"/>
      <c r="AR11" s="343"/>
      <c r="AS11" s="343"/>
      <c r="AT11" s="3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37"/>
      <c r="C12" s="237"/>
      <c r="D12" s="238"/>
      <c r="E12" s="336"/>
      <c r="F12" s="335"/>
      <c r="G12" s="335"/>
      <c r="H12" s="335"/>
      <c r="I12" s="351"/>
      <c r="J12" s="43" t="str">
        <f>IF(AND('Mapa final'!$Y$34="Muy Alta",'Mapa final'!$AA$34="Leve"),CONCATENATE("R7C",'Mapa final'!$O$34),"")</f>
        <v/>
      </c>
      <c r="K12" s="44" t="str">
        <f>IF(AND('Mapa final'!$Y$35="Muy Alta",'Mapa final'!$AA$35="Leve"),CONCATENATE("R7C",'Mapa final'!$O$35),"")</f>
        <v/>
      </c>
      <c r="L12" s="44" t="str">
        <f>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IF(AND('Mapa final'!$Y$34="Muy Alta",'Mapa final'!$AA$34="Menor"),CONCATENATE("R7C",'Mapa final'!$O$34),"")</f>
        <v/>
      </c>
      <c r="Q12" s="44" t="str">
        <f>IF(AND('Mapa final'!$Y$35="Muy Alta",'Mapa final'!$AA$35="Menor"),CONCATENATE("R7C",'Mapa final'!$O$35),"")</f>
        <v/>
      </c>
      <c r="R12" s="44" t="str">
        <f>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IF(AND('Mapa final'!$Y$34="Muy Alta",'Mapa final'!$AA$34="Moderado"),CONCATENATE("R7C",'Mapa final'!$O$34),"")</f>
        <v/>
      </c>
      <c r="W12" s="44" t="str">
        <f>IF(AND('Mapa final'!$Y$35="Muy Alta",'Mapa final'!$AA$35="Moderado"),CONCATENATE("R7C",'Mapa final'!$O$35),"")</f>
        <v/>
      </c>
      <c r="X12" s="44" t="str">
        <f>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IF(AND('Mapa final'!$Y$34="Muy Alta",'Mapa final'!$AA$34="Mayor"),CONCATENATE("R7C",'Mapa final'!$O$34),"")</f>
        <v/>
      </c>
      <c r="AC12" s="44" t="str">
        <f>IF(AND('Mapa final'!$Y$35="Muy Alta",'Mapa final'!$AA$35="Mayor"),CONCATENATE("R7C",'Mapa final'!$O$35),"")</f>
        <v/>
      </c>
      <c r="AD12" s="44" t="str">
        <f>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IF(AND('Mapa final'!$Y$34="Muy Alta",'Mapa final'!$AA$34="Catastrófico"),CONCATENATE("R7C",'Mapa final'!$O$34),"")</f>
        <v/>
      </c>
      <c r="AI12" s="47" t="str">
        <f>IF(AND('Mapa final'!$Y$35="Muy Alta",'Mapa final'!$AA$35="Catastrófico"),CONCATENATE("R7C",'Mapa final'!$O$35),"")</f>
        <v/>
      </c>
      <c r="AJ12" s="47" t="str">
        <f>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2"/>
      <c r="AP12" s="343"/>
      <c r="AQ12" s="343"/>
      <c r="AR12" s="343"/>
      <c r="AS12" s="343"/>
      <c r="AT12" s="3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37"/>
      <c r="C13" s="237"/>
      <c r="D13" s="238"/>
      <c r="E13" s="336"/>
      <c r="F13" s="335"/>
      <c r="G13" s="335"/>
      <c r="H13" s="335"/>
      <c r="I13" s="351"/>
      <c r="J13" s="43" t="str">
        <f>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2"/>
      <c r="AP13" s="343"/>
      <c r="AQ13" s="343"/>
      <c r="AR13" s="343"/>
      <c r="AS13" s="343"/>
      <c r="AT13" s="34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37"/>
      <c r="C14" s="237"/>
      <c r="D14" s="238"/>
      <c r="E14" s="336"/>
      <c r="F14" s="335"/>
      <c r="G14" s="335"/>
      <c r="H14" s="335"/>
      <c r="I14" s="351"/>
      <c r="J14" s="43" t="str">
        <f>IF(AND('Mapa final'!$Y$46="Muy Alta",'Mapa final'!$AA$46="Leve"),CONCATENATE("R9C",'Mapa final'!$O$46),"")</f>
        <v/>
      </c>
      <c r="K14" s="44" t="str">
        <f>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IF(AND('Mapa final'!$Y$46="Muy Alta",'Mapa final'!$AA$46="Menor"),CONCATENATE("R9C",'Mapa final'!$O$46),"")</f>
        <v/>
      </c>
      <c r="Q14" s="44" t="str">
        <f>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IF(AND('Mapa final'!$Y$46="Muy Alta",'Mapa final'!$AA$46="Moderado"),CONCATENATE("R9C",'Mapa final'!$O$46),"")</f>
        <v/>
      </c>
      <c r="W14" s="44" t="str">
        <f>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IF(AND('Mapa final'!$Y$46="Muy Alta",'Mapa final'!$AA$46="Mayor"),CONCATENATE("R9C",'Mapa final'!$O$46),"")</f>
        <v/>
      </c>
      <c r="AC14" s="44" t="str">
        <f>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IF(AND('Mapa final'!$Y$46="Muy Alta",'Mapa final'!$AA$46="Catastrófico"),CONCATENATE("R9C",'Mapa final'!$O$46),"")</f>
        <v/>
      </c>
      <c r="AI14" s="47" t="str">
        <f>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2"/>
      <c r="AP14" s="343"/>
      <c r="AQ14" s="343"/>
      <c r="AR14" s="343"/>
      <c r="AS14" s="343"/>
      <c r="AT14" s="34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37"/>
      <c r="C15" s="237"/>
      <c r="D15" s="238"/>
      <c r="E15" s="337"/>
      <c r="F15" s="338"/>
      <c r="G15" s="338"/>
      <c r="H15" s="338"/>
      <c r="I15" s="352"/>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45"/>
      <c r="AP15" s="346"/>
      <c r="AQ15" s="346"/>
      <c r="AR15" s="346"/>
      <c r="AS15" s="346"/>
      <c r="AT15" s="347"/>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37"/>
      <c r="C16" s="237"/>
      <c r="D16" s="238"/>
      <c r="E16" s="332" t="s">
        <v>113</v>
      </c>
      <c r="F16" s="333"/>
      <c r="G16" s="333"/>
      <c r="H16" s="333"/>
      <c r="I16" s="333"/>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23" t="s">
        <v>80</v>
      </c>
      <c r="AP16" s="324"/>
      <c r="AQ16" s="324"/>
      <c r="AR16" s="324"/>
      <c r="AS16" s="324"/>
      <c r="AT16" s="32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37"/>
      <c r="C17" s="237"/>
      <c r="D17" s="238"/>
      <c r="E17" s="334"/>
      <c r="F17" s="335"/>
      <c r="G17" s="335"/>
      <c r="H17" s="335"/>
      <c r="I17" s="335"/>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26"/>
      <c r="AP17" s="327"/>
      <c r="AQ17" s="327"/>
      <c r="AR17" s="327"/>
      <c r="AS17" s="327"/>
      <c r="AT17" s="32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37"/>
      <c r="C18" s="237"/>
      <c r="D18" s="238"/>
      <c r="E18" s="336"/>
      <c r="F18" s="335"/>
      <c r="G18" s="335"/>
      <c r="H18" s="335"/>
      <c r="I18" s="335"/>
      <c r="J18" s="58" t="str">
        <f ca="1">IF(AND('Mapa final'!$Y$10="Alta",'Mapa final'!$AA$10="Leve"),CONCATENATE("R3C",'Mapa final'!$O$10),"")</f>
        <v/>
      </c>
      <c r="K18" s="59" t="str">
        <f>IF(AND('Mapa final'!$Y$11="Alta",'Mapa final'!$AA$11="Leve"),CONCATENATE("R3C",'Mapa final'!$O$11),"")</f>
        <v/>
      </c>
      <c r="L18" s="59" t="str">
        <f>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IF(AND('Mapa final'!$Y$11="Alta",'Mapa final'!$AA$11="Menor"),CONCATENATE("R3C",'Mapa final'!$O$11),"")</f>
        <v/>
      </c>
      <c r="R18" s="59" t="str">
        <f>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IF(AND('Mapa final'!$Y$11="Alta",'Mapa final'!$AA$11="Moderado"),CONCATENATE("R3C",'Mapa final'!$O$11),"")</f>
        <v/>
      </c>
      <c r="X18" s="44" t="str">
        <f>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IF(AND('Mapa final'!$Y$11="Alta",'Mapa final'!$AA$11="Mayor"),CONCATENATE("R3C",'Mapa final'!$O$11),"")</f>
        <v/>
      </c>
      <c r="AD18" s="44" t="str">
        <f>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IF(AND('Mapa final'!$Y$11="Alta",'Mapa final'!$AA$11="Catastrófico"),CONCATENATE("R3C",'Mapa final'!$O$11),"")</f>
        <v/>
      </c>
      <c r="AJ18" s="47" t="str">
        <f>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26"/>
      <c r="AP18" s="327"/>
      <c r="AQ18" s="327"/>
      <c r="AR18" s="327"/>
      <c r="AS18" s="327"/>
      <c r="AT18" s="32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37"/>
      <c r="C19" s="237"/>
      <c r="D19" s="238"/>
      <c r="E19" s="336"/>
      <c r="F19" s="335"/>
      <c r="G19" s="335"/>
      <c r="H19" s="335"/>
      <c r="I19" s="335"/>
      <c r="J19" s="58" t="str">
        <f ca="1">IF(AND('Mapa final'!$Y$16="Alta",'Mapa final'!$AA$16="Leve"),CONCATENATE("R4C",'Mapa final'!$O$16),"")</f>
        <v/>
      </c>
      <c r="K19" s="59" t="str">
        <f>IF(AND('Mapa final'!$Y$17="Alta",'Mapa final'!$AA$17="Leve"),CONCATENATE("R4C",'Mapa final'!$O$17),"")</f>
        <v/>
      </c>
      <c r="L19" s="59" t="str">
        <f>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IF(AND('Mapa final'!$Y$17="Alta",'Mapa final'!$AA$17="Menor"),CONCATENATE("R4C",'Mapa final'!$O$17),"")</f>
        <v/>
      </c>
      <c r="R19" s="59" t="str">
        <f>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IF(AND('Mapa final'!$Y$17="Alta",'Mapa final'!$AA$17="Moderado"),CONCATENATE("R4C",'Mapa final'!$O$17),"")</f>
        <v/>
      </c>
      <c r="X19" s="44" t="str">
        <f>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IF(AND('Mapa final'!$Y$17="Alta",'Mapa final'!$AA$17="Mayor"),CONCATENATE("R4C",'Mapa final'!$O$17),"")</f>
        <v/>
      </c>
      <c r="AD19" s="44" t="str">
        <f>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IF(AND('Mapa final'!$Y$17="Alta",'Mapa final'!$AA$17="Catastrófico"),CONCATENATE("R4C",'Mapa final'!$O$17),"")</f>
        <v/>
      </c>
      <c r="AJ19" s="47" t="str">
        <f>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26"/>
      <c r="AP19" s="327"/>
      <c r="AQ19" s="327"/>
      <c r="AR19" s="327"/>
      <c r="AS19" s="327"/>
      <c r="AT19" s="32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37"/>
      <c r="C20" s="237"/>
      <c r="D20" s="238"/>
      <c r="E20" s="336"/>
      <c r="F20" s="335"/>
      <c r="G20" s="335"/>
      <c r="H20" s="335"/>
      <c r="I20" s="335"/>
      <c r="J20" s="58" t="str">
        <f ca="1">IF(AND('Mapa final'!$Y$22="Alta",'Mapa final'!$AA$22="Leve"),CONCATENATE("R5C",'Mapa final'!$O$22),"")</f>
        <v/>
      </c>
      <c r="K20" s="59" t="str">
        <f>IF(AND('Mapa final'!$Y$23="Alta",'Mapa final'!$AA$23="Leve"),CONCATENATE("R5C",'Mapa final'!$O$23),"")</f>
        <v/>
      </c>
      <c r="L20" s="59" t="str">
        <f>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 ca="1">IF(AND('Mapa final'!$Y$22="Alta",'Mapa final'!$AA$22="Menor"),CONCATENATE("R5C",'Mapa final'!$O$22),"")</f>
        <v/>
      </c>
      <c r="Q20" s="59" t="str">
        <f>IF(AND('Mapa final'!$Y$23="Alta",'Mapa final'!$AA$23="Menor"),CONCATENATE("R5C",'Mapa final'!$O$23),"")</f>
        <v/>
      </c>
      <c r="R20" s="59" t="str">
        <f>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 ca="1">IF(AND('Mapa final'!$Y$22="Alta",'Mapa final'!$AA$22="Moderado"),CONCATENATE("R5C",'Mapa final'!$O$22),"")</f>
        <v/>
      </c>
      <c r="W20" s="44" t="str">
        <f>IF(AND('Mapa final'!$Y$23="Alta",'Mapa final'!$AA$23="Moderado"),CONCATENATE("R5C",'Mapa final'!$O$23),"")</f>
        <v/>
      </c>
      <c r="X20" s="44" t="str">
        <f>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 ca="1">IF(AND('Mapa final'!$Y$22="Alta",'Mapa final'!$AA$22="Mayor"),CONCATENATE("R5C",'Mapa final'!$O$22),"")</f>
        <v/>
      </c>
      <c r="AC20" s="44" t="str">
        <f>IF(AND('Mapa final'!$Y$23="Alta",'Mapa final'!$AA$23="Mayor"),CONCATENATE("R5C",'Mapa final'!$O$23),"")</f>
        <v/>
      </c>
      <c r="AD20" s="44" t="str">
        <f>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 ca="1">IF(AND('Mapa final'!$Y$22="Alta",'Mapa final'!$AA$22="Catastrófico"),CONCATENATE("R5C",'Mapa final'!$O$22),"")</f>
        <v/>
      </c>
      <c r="AI20" s="47" t="str">
        <f>IF(AND('Mapa final'!$Y$23="Alta",'Mapa final'!$AA$23="Catastrófico"),CONCATENATE("R5C",'Mapa final'!$O$23),"")</f>
        <v/>
      </c>
      <c r="AJ20" s="47" t="str">
        <f>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26"/>
      <c r="AP20" s="327"/>
      <c r="AQ20" s="327"/>
      <c r="AR20" s="327"/>
      <c r="AS20" s="327"/>
      <c r="AT20" s="32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37"/>
      <c r="C21" s="237"/>
      <c r="D21" s="238"/>
      <c r="E21" s="336"/>
      <c r="F21" s="335"/>
      <c r="G21" s="335"/>
      <c r="H21" s="335"/>
      <c r="I21" s="335"/>
      <c r="J21" s="58" t="str">
        <f>IF(AND('Mapa final'!$Y$28="Alta",'Mapa final'!$AA$28="Leve"),CONCATENATE("R6C",'Mapa final'!$O$28),"")</f>
        <v/>
      </c>
      <c r="K21" s="59" t="str">
        <f>IF(AND('Mapa final'!$Y$29="Alta",'Mapa final'!$AA$29="Leve"),CONCATENATE("R6C",'Mapa final'!$O$29),"")</f>
        <v/>
      </c>
      <c r="L21" s="59" t="str">
        <f>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IF(AND('Mapa final'!$Y$28="Alta",'Mapa final'!$AA$28="Menor"),CONCATENATE("R6C",'Mapa final'!$O$28),"")</f>
        <v/>
      </c>
      <c r="Q21" s="59" t="str">
        <f>IF(AND('Mapa final'!$Y$29="Alta",'Mapa final'!$AA$29="Menor"),CONCATENATE("R6C",'Mapa final'!$O$29),"")</f>
        <v/>
      </c>
      <c r="R21" s="59" t="str">
        <f>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IF(AND('Mapa final'!$Y$28="Alta",'Mapa final'!$AA$28="Moderado"),CONCATENATE("R6C",'Mapa final'!$O$28),"")</f>
        <v/>
      </c>
      <c r="W21" s="44" t="str">
        <f>IF(AND('Mapa final'!$Y$29="Alta",'Mapa final'!$AA$29="Moderado"),CONCATENATE("R6C",'Mapa final'!$O$29),"")</f>
        <v/>
      </c>
      <c r="X21" s="44" t="str">
        <f>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IF(AND('Mapa final'!$Y$28="Alta",'Mapa final'!$AA$28="Mayor"),CONCATENATE("R6C",'Mapa final'!$O$28),"")</f>
        <v/>
      </c>
      <c r="AC21" s="44" t="str">
        <f>IF(AND('Mapa final'!$Y$29="Alta",'Mapa final'!$AA$29="Mayor"),CONCATENATE("R6C",'Mapa final'!$O$29),"")</f>
        <v/>
      </c>
      <c r="AD21" s="44" t="str">
        <f>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IF(AND('Mapa final'!$Y$28="Alta",'Mapa final'!$AA$28="Catastrófico"),CONCATENATE("R6C",'Mapa final'!$O$28),"")</f>
        <v/>
      </c>
      <c r="AI21" s="47" t="str">
        <f>IF(AND('Mapa final'!$Y$29="Alta",'Mapa final'!$AA$29="Catastrófico"),CONCATENATE("R6C",'Mapa final'!$O$29),"")</f>
        <v/>
      </c>
      <c r="AJ21" s="47" t="str">
        <f>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26"/>
      <c r="AP21" s="327"/>
      <c r="AQ21" s="327"/>
      <c r="AR21" s="327"/>
      <c r="AS21" s="327"/>
      <c r="AT21" s="32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37"/>
      <c r="C22" s="237"/>
      <c r="D22" s="238"/>
      <c r="E22" s="336"/>
      <c r="F22" s="335"/>
      <c r="G22" s="335"/>
      <c r="H22" s="335"/>
      <c r="I22" s="335"/>
      <c r="J22" s="58" t="str">
        <f>IF(AND('Mapa final'!$Y$34="Alta",'Mapa final'!$AA$34="Leve"),CONCATENATE("R7C",'Mapa final'!$O$34),"")</f>
        <v/>
      </c>
      <c r="K22" s="59" t="str">
        <f>IF(AND('Mapa final'!$Y$35="Alta",'Mapa final'!$AA$35="Leve"),CONCATENATE("R7C",'Mapa final'!$O$35),"")</f>
        <v/>
      </c>
      <c r="L22" s="59" t="str">
        <f>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IF(AND('Mapa final'!$Y$34="Alta",'Mapa final'!$AA$34="Menor"),CONCATENATE("R7C",'Mapa final'!$O$34),"")</f>
        <v/>
      </c>
      <c r="Q22" s="59" t="str">
        <f>IF(AND('Mapa final'!$Y$35="Alta",'Mapa final'!$AA$35="Menor"),CONCATENATE("R7C",'Mapa final'!$O$35),"")</f>
        <v/>
      </c>
      <c r="R22" s="59" t="str">
        <f>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IF(AND('Mapa final'!$Y$34="Alta",'Mapa final'!$AA$34="Moderado"),CONCATENATE("R7C",'Mapa final'!$O$34),"")</f>
        <v/>
      </c>
      <c r="W22" s="44" t="str">
        <f>IF(AND('Mapa final'!$Y$35="Alta",'Mapa final'!$AA$35="Moderado"),CONCATENATE("R7C",'Mapa final'!$O$35),"")</f>
        <v/>
      </c>
      <c r="X22" s="44" t="str">
        <f>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IF(AND('Mapa final'!$Y$34="Alta",'Mapa final'!$AA$34="Mayor"),CONCATENATE("R7C",'Mapa final'!$O$34),"")</f>
        <v/>
      </c>
      <c r="AC22" s="44" t="str">
        <f>IF(AND('Mapa final'!$Y$35="Alta",'Mapa final'!$AA$35="Mayor"),CONCATENATE("R7C",'Mapa final'!$O$35),"")</f>
        <v/>
      </c>
      <c r="AD22" s="44" t="str">
        <f>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IF(AND('Mapa final'!$Y$34="Alta",'Mapa final'!$AA$34="Catastrófico"),CONCATENATE("R7C",'Mapa final'!$O$34),"")</f>
        <v/>
      </c>
      <c r="AI22" s="47" t="str">
        <f>IF(AND('Mapa final'!$Y$35="Alta",'Mapa final'!$AA$35="Catastrófico"),CONCATENATE("R7C",'Mapa final'!$O$35),"")</f>
        <v/>
      </c>
      <c r="AJ22" s="47" t="str">
        <f>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26"/>
      <c r="AP22" s="327"/>
      <c r="AQ22" s="327"/>
      <c r="AR22" s="327"/>
      <c r="AS22" s="327"/>
      <c r="AT22" s="32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37"/>
      <c r="C23" s="237"/>
      <c r="D23" s="238"/>
      <c r="E23" s="336"/>
      <c r="F23" s="335"/>
      <c r="G23" s="335"/>
      <c r="H23" s="335"/>
      <c r="I23" s="335"/>
      <c r="J23" s="58" t="str">
        <f>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26"/>
      <c r="AP23" s="327"/>
      <c r="AQ23" s="327"/>
      <c r="AR23" s="327"/>
      <c r="AS23" s="327"/>
      <c r="AT23" s="32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37"/>
      <c r="C24" s="237"/>
      <c r="D24" s="238"/>
      <c r="E24" s="336"/>
      <c r="F24" s="335"/>
      <c r="G24" s="335"/>
      <c r="H24" s="335"/>
      <c r="I24" s="335"/>
      <c r="J24" s="58" t="str">
        <f>IF(AND('Mapa final'!$Y$46="Alta",'Mapa final'!$AA$46="Leve"),CONCATENATE("R9C",'Mapa final'!$O$46),"")</f>
        <v/>
      </c>
      <c r="K24" s="59" t="str">
        <f>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IF(AND('Mapa final'!$Y$46="Alta",'Mapa final'!$AA$46="Menor"),CONCATENATE("R9C",'Mapa final'!$O$46),"")</f>
        <v/>
      </c>
      <c r="Q24" s="59" t="str">
        <f>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IF(AND('Mapa final'!$Y$46="Alta",'Mapa final'!$AA$46="Moderado"),CONCATENATE("R9C",'Mapa final'!$O$46),"")</f>
        <v/>
      </c>
      <c r="W24" s="44" t="str">
        <f>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IF(AND('Mapa final'!$Y$46="Alta",'Mapa final'!$AA$46="Mayor"),CONCATENATE("R9C",'Mapa final'!$O$46),"")</f>
        <v/>
      </c>
      <c r="AC24" s="44" t="str">
        <f>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IF(AND('Mapa final'!$Y$46="Alta",'Mapa final'!$AA$46="Catastrófico"),CONCATENATE("R9C",'Mapa final'!$O$46),"")</f>
        <v/>
      </c>
      <c r="AI24" s="47" t="str">
        <f>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26"/>
      <c r="AP24" s="327"/>
      <c r="AQ24" s="327"/>
      <c r="AR24" s="327"/>
      <c r="AS24" s="327"/>
      <c r="AT24" s="32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37"/>
      <c r="C25" s="237"/>
      <c r="D25" s="238"/>
      <c r="E25" s="337"/>
      <c r="F25" s="338"/>
      <c r="G25" s="338"/>
      <c r="H25" s="338"/>
      <c r="I25" s="338"/>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29"/>
      <c r="AP25" s="330"/>
      <c r="AQ25" s="330"/>
      <c r="AR25" s="330"/>
      <c r="AS25" s="330"/>
      <c r="AT25" s="33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37"/>
      <c r="C26" s="237"/>
      <c r="D26" s="238"/>
      <c r="E26" s="332" t="s">
        <v>115</v>
      </c>
      <c r="F26" s="333"/>
      <c r="G26" s="333"/>
      <c r="H26" s="333"/>
      <c r="I26" s="350"/>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2" t="s">
        <v>81</v>
      </c>
      <c r="AP26" s="363"/>
      <c r="AQ26" s="363"/>
      <c r="AR26" s="363"/>
      <c r="AS26" s="363"/>
      <c r="AT26" s="36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37"/>
      <c r="C27" s="237"/>
      <c r="D27" s="238"/>
      <c r="E27" s="334"/>
      <c r="F27" s="335"/>
      <c r="G27" s="335"/>
      <c r="H27" s="335"/>
      <c r="I27" s="351"/>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5"/>
      <c r="AP27" s="366"/>
      <c r="AQ27" s="366"/>
      <c r="AR27" s="366"/>
      <c r="AS27" s="366"/>
      <c r="AT27" s="367"/>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37"/>
      <c r="C28" s="237"/>
      <c r="D28" s="238"/>
      <c r="E28" s="336"/>
      <c r="F28" s="335"/>
      <c r="G28" s="335"/>
      <c r="H28" s="335"/>
      <c r="I28" s="351"/>
      <c r="J28" s="58" t="str">
        <f ca="1">IF(AND('Mapa final'!$Y$10="Media",'Mapa final'!$AA$10="Leve"),CONCATENATE("R3C",'Mapa final'!$O$10),"")</f>
        <v/>
      </c>
      <c r="K28" s="59" t="str">
        <f>IF(AND('Mapa final'!$Y$11="Media",'Mapa final'!$AA$11="Leve"),CONCATENATE("R3C",'Mapa final'!$O$11),"")</f>
        <v/>
      </c>
      <c r="L28" s="59" t="str">
        <f>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
      </c>
      <c r="Q28" s="59" t="str">
        <f>IF(AND('Mapa final'!$Y$11="Media",'Mapa final'!$AA$11="Menor"),CONCATENATE("R3C",'Mapa final'!$O$11),"")</f>
        <v/>
      </c>
      <c r="R28" s="59" t="str">
        <f>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IF(AND('Mapa final'!$Y$11="Media",'Mapa final'!$AA$11="Moderado"),CONCATENATE("R3C",'Mapa final'!$O$11),"")</f>
        <v/>
      </c>
      <c r="X28" s="59" t="str">
        <f>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IF(AND('Mapa final'!$Y$11="Media",'Mapa final'!$AA$11="Mayor"),CONCATENATE("R3C",'Mapa final'!$O$11),"")</f>
        <v/>
      </c>
      <c r="AD28" s="44" t="str">
        <f>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IF(AND('Mapa final'!$Y$11="Media",'Mapa final'!$AA$11="Catastrófico"),CONCATENATE("R3C",'Mapa final'!$O$11),"")</f>
        <v/>
      </c>
      <c r="AJ28" s="47" t="str">
        <f>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5"/>
      <c r="AP28" s="366"/>
      <c r="AQ28" s="366"/>
      <c r="AR28" s="366"/>
      <c r="AS28" s="366"/>
      <c r="AT28" s="367"/>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37"/>
      <c r="C29" s="237"/>
      <c r="D29" s="238"/>
      <c r="E29" s="336"/>
      <c r="F29" s="335"/>
      <c r="G29" s="335"/>
      <c r="H29" s="335"/>
      <c r="I29" s="351"/>
      <c r="J29" s="58" t="str">
        <f ca="1">IF(AND('Mapa final'!$Y$16="Media",'Mapa final'!$AA$16="Leve"),CONCATENATE("R4C",'Mapa final'!$O$16),"")</f>
        <v/>
      </c>
      <c r="K29" s="59" t="str">
        <f>IF(AND('Mapa final'!$Y$17="Media",'Mapa final'!$AA$17="Leve"),CONCATENATE("R4C",'Mapa final'!$O$17),"")</f>
        <v/>
      </c>
      <c r="L29" s="59" t="str">
        <f>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IF(AND('Mapa final'!$Y$17="Media",'Mapa final'!$AA$17="Menor"),CONCATENATE("R4C",'Mapa final'!$O$17),"")</f>
        <v/>
      </c>
      <c r="R29" s="59" t="str">
        <f>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IF(AND('Mapa final'!$Y$17="Media",'Mapa final'!$AA$17="Moderado"),CONCATENATE("R4C",'Mapa final'!$O$17),"")</f>
        <v/>
      </c>
      <c r="X29" s="59" t="str">
        <f>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IF(AND('Mapa final'!$Y$17="Media",'Mapa final'!$AA$17="Mayor"),CONCATENATE("R4C",'Mapa final'!$O$17),"")</f>
        <v/>
      </c>
      <c r="AD29" s="44" t="str">
        <f>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IF(AND('Mapa final'!$Y$17="Media",'Mapa final'!$AA$17="Catastrófico"),CONCATENATE("R4C",'Mapa final'!$O$17),"")</f>
        <v/>
      </c>
      <c r="AJ29" s="47" t="str">
        <f>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5"/>
      <c r="AP29" s="366"/>
      <c r="AQ29" s="366"/>
      <c r="AR29" s="366"/>
      <c r="AS29" s="366"/>
      <c r="AT29" s="367"/>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37"/>
      <c r="C30" s="237"/>
      <c r="D30" s="238"/>
      <c r="E30" s="336"/>
      <c r="F30" s="335"/>
      <c r="G30" s="335"/>
      <c r="H30" s="335"/>
      <c r="I30" s="351"/>
      <c r="J30" s="58" t="str">
        <f ca="1">IF(AND('Mapa final'!$Y$22="Media",'Mapa final'!$AA$22="Leve"),CONCATENATE("R5C",'Mapa final'!$O$22),"")</f>
        <v/>
      </c>
      <c r="K30" s="59" t="str">
        <f>IF(AND('Mapa final'!$Y$23="Media",'Mapa final'!$AA$23="Leve"),CONCATENATE("R5C",'Mapa final'!$O$23),"")</f>
        <v/>
      </c>
      <c r="L30" s="59" t="str">
        <f>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 ca="1">IF(AND('Mapa final'!$Y$22="Media",'Mapa final'!$AA$22="Menor"),CONCATENATE("R5C",'Mapa final'!$O$22),"")</f>
        <v/>
      </c>
      <c r="Q30" s="59" t="str">
        <f>IF(AND('Mapa final'!$Y$23="Media",'Mapa final'!$AA$23="Menor"),CONCATENATE("R5C",'Mapa final'!$O$23),"")</f>
        <v/>
      </c>
      <c r="R30" s="59" t="str">
        <f>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 ca="1">IF(AND('Mapa final'!$Y$22="Media",'Mapa final'!$AA$22="Moderado"),CONCATENATE("R5C",'Mapa final'!$O$22),"")</f>
        <v/>
      </c>
      <c r="W30" s="59" t="str">
        <f>IF(AND('Mapa final'!$Y$23="Media",'Mapa final'!$AA$23="Moderado"),CONCATENATE("R5C",'Mapa final'!$O$23),"")</f>
        <v/>
      </c>
      <c r="X30" s="59" t="str">
        <f>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 ca="1">IF(AND('Mapa final'!$Y$22="Media",'Mapa final'!$AA$22="Mayor"),CONCATENATE("R5C",'Mapa final'!$O$22),"")</f>
        <v/>
      </c>
      <c r="AC30" s="44" t="str">
        <f>IF(AND('Mapa final'!$Y$23="Media",'Mapa final'!$AA$23="Mayor"),CONCATENATE("R5C",'Mapa final'!$O$23),"")</f>
        <v/>
      </c>
      <c r="AD30" s="44" t="str">
        <f>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 ca="1">IF(AND('Mapa final'!$Y$22="Media",'Mapa final'!$AA$22="Catastrófico"),CONCATENATE("R5C",'Mapa final'!$O$22),"")</f>
        <v/>
      </c>
      <c r="AI30" s="47" t="str">
        <f>IF(AND('Mapa final'!$Y$23="Media",'Mapa final'!$AA$23="Catastrófico"),CONCATENATE("R5C",'Mapa final'!$O$23),"")</f>
        <v/>
      </c>
      <c r="AJ30" s="47" t="str">
        <f>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5"/>
      <c r="AP30" s="366"/>
      <c r="AQ30" s="366"/>
      <c r="AR30" s="366"/>
      <c r="AS30" s="366"/>
      <c r="AT30" s="367"/>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37"/>
      <c r="C31" s="237"/>
      <c r="D31" s="238"/>
      <c r="E31" s="336"/>
      <c r="F31" s="335"/>
      <c r="G31" s="335"/>
      <c r="H31" s="335"/>
      <c r="I31" s="351"/>
      <c r="J31" s="58" t="str">
        <f>IF(AND('Mapa final'!$Y$28="Media",'Mapa final'!$AA$28="Leve"),CONCATENATE("R6C",'Mapa final'!$O$28),"")</f>
        <v/>
      </c>
      <c r="K31" s="59" t="str">
        <f>IF(AND('Mapa final'!$Y$29="Media",'Mapa final'!$AA$29="Leve"),CONCATENATE("R6C",'Mapa final'!$O$29),"")</f>
        <v/>
      </c>
      <c r="L31" s="59" t="str">
        <f>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IF(AND('Mapa final'!$Y$28="Media",'Mapa final'!$AA$28="Menor"),CONCATENATE("R6C",'Mapa final'!$O$28),"")</f>
        <v/>
      </c>
      <c r="Q31" s="59" t="str">
        <f>IF(AND('Mapa final'!$Y$29="Media",'Mapa final'!$AA$29="Menor"),CONCATENATE("R6C",'Mapa final'!$O$29),"")</f>
        <v/>
      </c>
      <c r="R31" s="59" t="str">
        <f>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IF(AND('Mapa final'!$Y$28="Media",'Mapa final'!$AA$28="Moderado"),CONCATENATE("R6C",'Mapa final'!$O$28),"")</f>
        <v/>
      </c>
      <c r="W31" s="59" t="str">
        <f>IF(AND('Mapa final'!$Y$29="Media",'Mapa final'!$AA$29="Moderado"),CONCATENATE("R6C",'Mapa final'!$O$29),"")</f>
        <v/>
      </c>
      <c r="X31" s="59" t="str">
        <f>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IF(AND('Mapa final'!$Y$28="Media",'Mapa final'!$AA$28="Mayor"),CONCATENATE("R6C",'Mapa final'!$O$28),"")</f>
        <v/>
      </c>
      <c r="AC31" s="44" t="str">
        <f>IF(AND('Mapa final'!$Y$29="Media",'Mapa final'!$AA$29="Mayor"),CONCATENATE("R6C",'Mapa final'!$O$29),"")</f>
        <v/>
      </c>
      <c r="AD31" s="44" t="str">
        <f>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IF(AND('Mapa final'!$Y$28="Media",'Mapa final'!$AA$28="Catastrófico"),CONCATENATE("R6C",'Mapa final'!$O$28),"")</f>
        <v/>
      </c>
      <c r="AI31" s="47" t="str">
        <f>IF(AND('Mapa final'!$Y$29="Media",'Mapa final'!$AA$29="Catastrófico"),CONCATENATE("R6C",'Mapa final'!$O$29),"")</f>
        <v/>
      </c>
      <c r="AJ31" s="47" t="str">
        <f>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5"/>
      <c r="AP31" s="366"/>
      <c r="AQ31" s="366"/>
      <c r="AR31" s="366"/>
      <c r="AS31" s="366"/>
      <c r="AT31" s="367"/>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37"/>
      <c r="C32" s="237"/>
      <c r="D32" s="238"/>
      <c r="E32" s="336"/>
      <c r="F32" s="335"/>
      <c r="G32" s="335"/>
      <c r="H32" s="335"/>
      <c r="I32" s="351"/>
      <c r="J32" s="58" t="str">
        <f>IF(AND('Mapa final'!$Y$34="Media",'Mapa final'!$AA$34="Leve"),CONCATENATE("R7C",'Mapa final'!$O$34),"")</f>
        <v/>
      </c>
      <c r="K32" s="59" t="str">
        <f>IF(AND('Mapa final'!$Y$35="Media",'Mapa final'!$AA$35="Leve"),CONCATENATE("R7C",'Mapa final'!$O$35),"")</f>
        <v/>
      </c>
      <c r="L32" s="59" t="str">
        <f>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IF(AND('Mapa final'!$Y$34="Media",'Mapa final'!$AA$34="Menor"),CONCATENATE("R7C",'Mapa final'!$O$34),"")</f>
        <v/>
      </c>
      <c r="Q32" s="59" t="str">
        <f>IF(AND('Mapa final'!$Y$35="Media",'Mapa final'!$AA$35="Menor"),CONCATENATE("R7C",'Mapa final'!$O$35),"")</f>
        <v/>
      </c>
      <c r="R32" s="59" t="str">
        <f>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IF(AND('Mapa final'!$Y$34="Media",'Mapa final'!$AA$34="Moderado"),CONCATENATE("R7C",'Mapa final'!$O$34),"")</f>
        <v/>
      </c>
      <c r="W32" s="59" t="str">
        <f>IF(AND('Mapa final'!$Y$35="Media",'Mapa final'!$AA$35="Moderado"),CONCATENATE("R7C",'Mapa final'!$O$35),"")</f>
        <v/>
      </c>
      <c r="X32" s="59" t="str">
        <f>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IF(AND('Mapa final'!$Y$34="Media",'Mapa final'!$AA$34="Mayor"),CONCATENATE("R7C",'Mapa final'!$O$34),"")</f>
        <v/>
      </c>
      <c r="AC32" s="44" t="str">
        <f>IF(AND('Mapa final'!$Y$35="Media",'Mapa final'!$AA$35="Mayor"),CONCATENATE("R7C",'Mapa final'!$O$35),"")</f>
        <v/>
      </c>
      <c r="AD32" s="44" t="str">
        <f>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IF(AND('Mapa final'!$Y$34="Media",'Mapa final'!$AA$34="Catastrófico"),CONCATENATE("R7C",'Mapa final'!$O$34),"")</f>
        <v/>
      </c>
      <c r="AI32" s="47" t="str">
        <f>IF(AND('Mapa final'!$Y$35="Media",'Mapa final'!$AA$35="Catastrófico"),CONCATENATE("R7C",'Mapa final'!$O$35),"")</f>
        <v/>
      </c>
      <c r="AJ32" s="47" t="str">
        <f>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5"/>
      <c r="AP32" s="366"/>
      <c r="AQ32" s="366"/>
      <c r="AR32" s="366"/>
      <c r="AS32" s="366"/>
      <c r="AT32" s="367"/>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37"/>
      <c r="C33" s="237"/>
      <c r="D33" s="238"/>
      <c r="E33" s="336"/>
      <c r="F33" s="335"/>
      <c r="G33" s="335"/>
      <c r="H33" s="335"/>
      <c r="I33" s="351"/>
      <c r="J33" s="58" t="str">
        <f>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5"/>
      <c r="AP33" s="366"/>
      <c r="AQ33" s="366"/>
      <c r="AR33" s="366"/>
      <c r="AS33" s="366"/>
      <c r="AT33" s="367"/>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37"/>
      <c r="C34" s="237"/>
      <c r="D34" s="238"/>
      <c r="E34" s="336"/>
      <c r="F34" s="335"/>
      <c r="G34" s="335"/>
      <c r="H34" s="335"/>
      <c r="I34" s="351"/>
      <c r="J34" s="58" t="str">
        <f>IF(AND('Mapa final'!$Y$46="Media",'Mapa final'!$AA$46="Leve"),CONCATENATE("R9C",'Mapa final'!$O$46),"")</f>
        <v/>
      </c>
      <c r="K34" s="59" t="str">
        <f>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IF(AND('Mapa final'!$Y$46="Media",'Mapa final'!$AA$46="Menor"),CONCATENATE("R9C",'Mapa final'!$O$46),"")</f>
        <v/>
      </c>
      <c r="Q34" s="59" t="str">
        <f>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IF(AND('Mapa final'!$Y$46="Media",'Mapa final'!$AA$46="Moderado"),CONCATENATE("R9C",'Mapa final'!$O$46),"")</f>
        <v/>
      </c>
      <c r="W34" s="59" t="str">
        <f>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IF(AND('Mapa final'!$Y$46="Media",'Mapa final'!$AA$46="Mayor"),CONCATENATE("R9C",'Mapa final'!$O$46),"")</f>
        <v/>
      </c>
      <c r="AC34" s="44" t="str">
        <f>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IF(AND('Mapa final'!$Y$46="Media",'Mapa final'!$AA$46="Catastrófico"),CONCATENATE("R9C",'Mapa final'!$O$46),"")</f>
        <v/>
      </c>
      <c r="AI34" s="47" t="str">
        <f>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5"/>
      <c r="AP34" s="366"/>
      <c r="AQ34" s="366"/>
      <c r="AR34" s="366"/>
      <c r="AS34" s="366"/>
      <c r="AT34" s="367"/>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37"/>
      <c r="C35" s="237"/>
      <c r="D35" s="238"/>
      <c r="E35" s="337"/>
      <c r="F35" s="338"/>
      <c r="G35" s="338"/>
      <c r="H35" s="338"/>
      <c r="I35" s="352"/>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68"/>
      <c r="AP35" s="369"/>
      <c r="AQ35" s="369"/>
      <c r="AR35" s="369"/>
      <c r="AS35" s="369"/>
      <c r="AT35" s="370"/>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37"/>
      <c r="C36" s="237"/>
      <c r="D36" s="238"/>
      <c r="E36" s="332" t="s">
        <v>112</v>
      </c>
      <c r="F36" s="333"/>
      <c r="G36" s="333"/>
      <c r="H36" s="333"/>
      <c r="I36" s="333"/>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3" t="s">
        <v>82</v>
      </c>
      <c r="AP36" s="354"/>
      <c r="AQ36" s="354"/>
      <c r="AR36" s="354"/>
      <c r="AS36" s="354"/>
      <c r="AT36" s="355"/>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37"/>
      <c r="C37" s="237"/>
      <c r="D37" s="238"/>
      <c r="E37" s="334"/>
      <c r="F37" s="335"/>
      <c r="G37" s="335"/>
      <c r="H37" s="335"/>
      <c r="I37" s="335"/>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6"/>
      <c r="AP37" s="357"/>
      <c r="AQ37" s="357"/>
      <c r="AR37" s="357"/>
      <c r="AS37" s="357"/>
      <c r="AT37" s="358"/>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37"/>
      <c r="C38" s="237"/>
      <c r="D38" s="238"/>
      <c r="E38" s="336"/>
      <c r="F38" s="335"/>
      <c r="G38" s="335"/>
      <c r="H38" s="335"/>
      <c r="I38" s="335"/>
      <c r="J38" s="67" t="str">
        <f ca="1">IF(AND('Mapa final'!$Y$10="Baja",'Mapa final'!$AA$10="Leve"),CONCATENATE("R3C",'Mapa final'!$O$10),"")</f>
        <v/>
      </c>
      <c r="K38" s="68" t="str">
        <f>IF(AND('Mapa final'!$Y$11="Baja",'Mapa final'!$AA$11="Leve"),CONCATENATE("R3C",'Mapa final'!$O$11),"")</f>
        <v/>
      </c>
      <c r="L38" s="68" t="str">
        <f>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IF(AND('Mapa final'!$Y$11="Baja",'Mapa final'!$AA$11="Menor"),CONCATENATE("R3C",'Mapa final'!$O$11),"")</f>
        <v/>
      </c>
      <c r="R38" s="59" t="str">
        <f>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R3C1</v>
      </c>
      <c r="W38" s="59" t="str">
        <f>IF(AND('Mapa final'!$Y$11="Baja",'Mapa final'!$AA$11="Moderado"),CONCATENATE("R3C",'Mapa final'!$O$11),"")</f>
        <v/>
      </c>
      <c r="X38" s="59" t="str">
        <f>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
      </c>
      <c r="AC38" s="44" t="str">
        <f>IF(AND('Mapa final'!$Y$11="Baja",'Mapa final'!$AA$11="Mayor"),CONCATENATE("R3C",'Mapa final'!$O$11),"")</f>
        <v/>
      </c>
      <c r="AD38" s="44" t="str">
        <f>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IF(AND('Mapa final'!$Y$11="Baja",'Mapa final'!$AA$11="Catastrófico"),CONCATENATE("R3C",'Mapa final'!$O$11),"")</f>
        <v/>
      </c>
      <c r="AJ38" s="47" t="str">
        <f>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6"/>
      <c r="AP38" s="357"/>
      <c r="AQ38" s="357"/>
      <c r="AR38" s="357"/>
      <c r="AS38" s="357"/>
      <c r="AT38" s="358"/>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37"/>
      <c r="C39" s="237"/>
      <c r="D39" s="238"/>
      <c r="E39" s="336"/>
      <c r="F39" s="335"/>
      <c r="G39" s="335"/>
      <c r="H39" s="335"/>
      <c r="I39" s="335"/>
      <c r="J39" s="67" t="str">
        <f ca="1">IF(AND('Mapa final'!$Y$16="Baja",'Mapa final'!$AA$16="Leve"),CONCATENATE("R4C",'Mapa final'!$O$16),"")</f>
        <v/>
      </c>
      <c r="K39" s="68" t="str">
        <f>IF(AND('Mapa final'!$Y$17="Baja",'Mapa final'!$AA$17="Leve"),CONCATENATE("R4C",'Mapa final'!$O$17),"")</f>
        <v/>
      </c>
      <c r="L39" s="68" t="str">
        <f>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IF(AND('Mapa final'!$Y$17="Baja",'Mapa final'!$AA$17="Menor"),CONCATENATE("R4C",'Mapa final'!$O$17),"")</f>
        <v/>
      </c>
      <c r="R39" s="59" t="str">
        <f>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
      </c>
      <c r="W39" s="59" t="str">
        <f>IF(AND('Mapa final'!$Y$17="Baja",'Mapa final'!$AA$17="Moderado"),CONCATENATE("R4C",'Mapa final'!$O$17),"")</f>
        <v/>
      </c>
      <c r="X39" s="59" t="str">
        <f>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R4C1</v>
      </c>
      <c r="AC39" s="44" t="str">
        <f>IF(AND('Mapa final'!$Y$17="Baja",'Mapa final'!$AA$17="Mayor"),CONCATENATE("R4C",'Mapa final'!$O$17),"")</f>
        <v/>
      </c>
      <c r="AD39" s="44" t="str">
        <f>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IF(AND('Mapa final'!$Y$17="Baja",'Mapa final'!$AA$17="Catastrófico"),CONCATENATE("R4C",'Mapa final'!$O$17),"")</f>
        <v/>
      </c>
      <c r="AJ39" s="47" t="str">
        <f>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56"/>
      <c r="AP39" s="357"/>
      <c r="AQ39" s="357"/>
      <c r="AR39" s="357"/>
      <c r="AS39" s="357"/>
      <c r="AT39" s="358"/>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37"/>
      <c r="C40" s="237"/>
      <c r="D40" s="238"/>
      <c r="E40" s="336"/>
      <c r="F40" s="335"/>
      <c r="G40" s="335"/>
      <c r="H40" s="335"/>
      <c r="I40" s="335"/>
      <c r="J40" s="67" t="str">
        <f ca="1">IF(AND('Mapa final'!$Y$22="Baja",'Mapa final'!$AA$22="Leve"),CONCATENATE("R5C",'Mapa final'!$O$22),"")</f>
        <v/>
      </c>
      <c r="K40" s="68" t="str">
        <f>IF(AND('Mapa final'!$Y$23="Baja",'Mapa final'!$AA$23="Leve"),CONCATENATE("R5C",'Mapa final'!$O$23),"")</f>
        <v/>
      </c>
      <c r="L40" s="68" t="str">
        <f>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 ca="1">IF(AND('Mapa final'!$Y$22="Baja",'Mapa final'!$AA$22="Menor"),CONCATENATE("R5C",'Mapa final'!$O$22),"")</f>
        <v>R5C1</v>
      </c>
      <c r="Q40" s="59" t="str">
        <f>IF(AND('Mapa final'!$Y$23="Baja",'Mapa final'!$AA$23="Menor"),CONCATENATE("R5C",'Mapa final'!$O$23),"")</f>
        <v/>
      </c>
      <c r="R40" s="59" t="str">
        <f>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 ca="1">IF(AND('Mapa final'!$Y$22="Baja",'Mapa final'!$AA$22="Moderado"),CONCATENATE("R5C",'Mapa final'!$O$22),"")</f>
        <v/>
      </c>
      <c r="W40" s="59" t="str">
        <f>IF(AND('Mapa final'!$Y$23="Baja",'Mapa final'!$AA$23="Moderado"),CONCATENATE("R5C",'Mapa final'!$O$23),"")</f>
        <v/>
      </c>
      <c r="X40" s="59" t="str">
        <f>IF(AND('Mapa final'!$Y$24="Baja",'Mapa final'!$AA$24="Moderado"),CONCATENATE("R5C",'Mapa final'!$O$24),"")</f>
        <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 ca="1">IF(AND('Mapa final'!$Y$22="Baja",'Mapa final'!$AA$22="Mayor"),CONCATENATE("R5C",'Mapa final'!$O$22),"")</f>
        <v/>
      </c>
      <c r="AC40" s="44" t="str">
        <f>IF(AND('Mapa final'!$Y$23="Baja",'Mapa final'!$AA$23="Mayor"),CONCATENATE("R5C",'Mapa final'!$O$23),"")</f>
        <v/>
      </c>
      <c r="AD40" s="44" t="str">
        <f>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 ca="1">IF(AND('Mapa final'!$Y$22="Baja",'Mapa final'!$AA$22="Catastrófico"),CONCATENATE("R5C",'Mapa final'!$O$22),"")</f>
        <v/>
      </c>
      <c r="AI40" s="47" t="str">
        <f>IF(AND('Mapa final'!$Y$23="Baja",'Mapa final'!$AA$23="Catastrófico"),CONCATENATE("R5C",'Mapa final'!$O$23),"")</f>
        <v/>
      </c>
      <c r="AJ40" s="47" t="str">
        <f>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56"/>
      <c r="AP40" s="357"/>
      <c r="AQ40" s="357"/>
      <c r="AR40" s="357"/>
      <c r="AS40" s="357"/>
      <c r="AT40" s="358"/>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37"/>
      <c r="C41" s="237"/>
      <c r="D41" s="238"/>
      <c r="E41" s="336"/>
      <c r="F41" s="335"/>
      <c r="G41" s="335"/>
      <c r="H41" s="335"/>
      <c r="I41" s="335"/>
      <c r="J41" s="67" t="str">
        <f>IF(AND('Mapa final'!$Y$28="Baja",'Mapa final'!$AA$28="Leve"),CONCATENATE("R6C",'Mapa final'!$O$28),"")</f>
        <v/>
      </c>
      <c r="K41" s="68" t="str">
        <f>IF(AND('Mapa final'!$Y$29="Baja",'Mapa final'!$AA$29="Leve"),CONCATENATE("R6C",'Mapa final'!$O$29),"")</f>
        <v/>
      </c>
      <c r="L41" s="68" t="str">
        <f>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IF(AND('Mapa final'!$Y$28="Baja",'Mapa final'!$AA$28="Menor"),CONCATENATE("R6C",'Mapa final'!$O$28),"")</f>
        <v/>
      </c>
      <c r="Q41" s="59" t="str">
        <f>IF(AND('Mapa final'!$Y$29="Baja",'Mapa final'!$AA$29="Menor"),CONCATENATE("R6C",'Mapa final'!$O$29),"")</f>
        <v/>
      </c>
      <c r="R41" s="59" t="str">
        <f>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IF(AND('Mapa final'!$Y$28="Baja",'Mapa final'!$AA$28="Moderado"),CONCATENATE("R6C",'Mapa final'!$O$28),"")</f>
        <v/>
      </c>
      <c r="W41" s="59" t="str">
        <f>IF(AND('Mapa final'!$Y$29="Baja",'Mapa final'!$AA$29="Moderado"),CONCATENATE("R6C",'Mapa final'!$O$29),"")</f>
        <v/>
      </c>
      <c r="X41" s="59" t="str">
        <f>IF(AND('Mapa final'!$Y$30="Baja",'Mapa final'!$AA$30="Moderado"),CONCATENATE("R6C",'Mapa final'!$O$30),"")</f>
        <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IF(AND('Mapa final'!$Y$28="Baja",'Mapa final'!$AA$28="Mayor"),CONCATENATE("R6C",'Mapa final'!$O$28),"")</f>
        <v/>
      </c>
      <c r="AC41" s="44" t="str">
        <f>IF(AND('Mapa final'!$Y$29="Baja",'Mapa final'!$AA$29="Mayor"),CONCATENATE("R6C",'Mapa final'!$O$29),"")</f>
        <v/>
      </c>
      <c r="AD41" s="44" t="str">
        <f>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IF(AND('Mapa final'!$Y$28="Baja",'Mapa final'!$AA$28="Catastrófico"),CONCATENATE("R6C",'Mapa final'!$O$28),"")</f>
        <v/>
      </c>
      <c r="AI41" s="47" t="str">
        <f>IF(AND('Mapa final'!$Y$29="Baja",'Mapa final'!$AA$29="Catastrófico"),CONCATENATE("R6C",'Mapa final'!$O$29),"")</f>
        <v/>
      </c>
      <c r="AJ41" s="47" t="str">
        <f>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56"/>
      <c r="AP41" s="357"/>
      <c r="AQ41" s="357"/>
      <c r="AR41" s="357"/>
      <c r="AS41" s="357"/>
      <c r="AT41" s="358"/>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37"/>
      <c r="C42" s="237"/>
      <c r="D42" s="238"/>
      <c r="E42" s="336"/>
      <c r="F42" s="335"/>
      <c r="G42" s="335"/>
      <c r="H42" s="335"/>
      <c r="I42" s="335"/>
      <c r="J42" s="67" t="str">
        <f>IF(AND('Mapa final'!$Y$34="Baja",'Mapa final'!$AA$34="Leve"),CONCATENATE("R7C",'Mapa final'!$O$34),"")</f>
        <v/>
      </c>
      <c r="K42" s="68" t="str">
        <f>IF(AND('Mapa final'!$Y$35="Baja",'Mapa final'!$AA$35="Leve"),CONCATENATE("R7C",'Mapa final'!$O$35),"")</f>
        <v/>
      </c>
      <c r="L42" s="68" t="str">
        <f>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IF(AND('Mapa final'!$Y$34="Baja",'Mapa final'!$AA$34="Menor"),CONCATENATE("R7C",'Mapa final'!$O$34),"")</f>
        <v/>
      </c>
      <c r="Q42" s="59" t="str">
        <f>IF(AND('Mapa final'!$Y$35="Baja",'Mapa final'!$AA$35="Menor"),CONCATENATE("R7C",'Mapa final'!$O$35),"")</f>
        <v/>
      </c>
      <c r="R42" s="59" t="str">
        <f>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IF(AND('Mapa final'!$Y$34="Baja",'Mapa final'!$AA$34="Moderado"),CONCATENATE("R7C",'Mapa final'!$O$34),"")</f>
        <v/>
      </c>
      <c r="W42" s="59" t="str">
        <f>IF(AND('Mapa final'!$Y$35="Baja",'Mapa final'!$AA$35="Moderado"),CONCATENATE("R7C",'Mapa final'!$O$35),"")</f>
        <v/>
      </c>
      <c r="X42" s="59" t="str">
        <f>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IF(AND('Mapa final'!$Y$34="Baja",'Mapa final'!$AA$34="Mayor"),CONCATENATE("R7C",'Mapa final'!$O$34),"")</f>
        <v/>
      </c>
      <c r="AC42" s="44" t="str">
        <f>IF(AND('Mapa final'!$Y$35="Baja",'Mapa final'!$AA$35="Mayor"),CONCATENATE("R7C",'Mapa final'!$O$35),"")</f>
        <v/>
      </c>
      <c r="AD42" s="44" t="str">
        <f>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IF(AND('Mapa final'!$Y$34="Baja",'Mapa final'!$AA$34="Catastrófico"),CONCATENATE("R7C",'Mapa final'!$O$34),"")</f>
        <v/>
      </c>
      <c r="AI42" s="47" t="str">
        <f>IF(AND('Mapa final'!$Y$35="Baja",'Mapa final'!$AA$35="Catastrófico"),CONCATENATE("R7C",'Mapa final'!$O$35),"")</f>
        <v/>
      </c>
      <c r="AJ42" s="47" t="str">
        <f>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56"/>
      <c r="AP42" s="357"/>
      <c r="AQ42" s="357"/>
      <c r="AR42" s="357"/>
      <c r="AS42" s="357"/>
      <c r="AT42" s="358"/>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37"/>
      <c r="C43" s="237"/>
      <c r="D43" s="238"/>
      <c r="E43" s="336"/>
      <c r="F43" s="335"/>
      <c r="G43" s="335"/>
      <c r="H43" s="335"/>
      <c r="I43" s="335"/>
      <c r="J43" s="67" t="str">
        <f>IF(AND('Mapa final'!$Y$40="Baja",'Mapa final'!$AA$40="Leve"),CONCATENATE("R8C",'Mapa final'!$O$40),"")</f>
        <v/>
      </c>
      <c r="K43" s="68" t="str">
        <f>IF(AND('Mapa final'!$Y$41="Baja",'Mapa final'!$AA$41="Leve"),CONCATENATE("R8C",'Mapa final'!$O$41),"")</f>
        <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IF(AND('Mapa final'!$Y$40="Baja",'Mapa final'!$AA$40="Moderado"),CONCATENATE("R8C",'Mapa final'!$O$40),"")</f>
        <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IF(AND('Mapa final'!$Y$40="Baja",'Mapa final'!$AA$40="Mayor"),CONCATENATE("R8C",'Mapa final'!$O$40),"")</f>
        <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56"/>
      <c r="AP43" s="357"/>
      <c r="AQ43" s="357"/>
      <c r="AR43" s="357"/>
      <c r="AS43" s="357"/>
      <c r="AT43" s="358"/>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37"/>
      <c r="C44" s="237"/>
      <c r="D44" s="238"/>
      <c r="E44" s="336"/>
      <c r="F44" s="335"/>
      <c r="G44" s="335"/>
      <c r="H44" s="335"/>
      <c r="I44" s="335"/>
      <c r="J44" s="67" t="str">
        <f>IF(AND('Mapa final'!$Y$46="Baja",'Mapa final'!$AA$46="Leve"),CONCATENATE("R9C",'Mapa final'!$O$46),"")</f>
        <v/>
      </c>
      <c r="K44" s="68" t="str">
        <f>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IF(AND('Mapa final'!$Y$46="Baja",'Mapa final'!$AA$46="Menor"),CONCATENATE("R9C",'Mapa final'!$O$46),"")</f>
        <v/>
      </c>
      <c r="Q44" s="59" t="str">
        <f>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IF(AND('Mapa final'!$Y$46="Baja",'Mapa final'!$AA$46="Moderado"),CONCATENATE("R9C",'Mapa final'!$O$46),"")</f>
        <v/>
      </c>
      <c r="W44" s="59" t="str">
        <f>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IF(AND('Mapa final'!$Y$46="Baja",'Mapa final'!$AA$46="Mayor"),CONCATENATE("R9C",'Mapa final'!$O$46),"")</f>
        <v/>
      </c>
      <c r="AC44" s="44" t="str">
        <f>IF(AND('Mapa final'!$Y$47="Baja",'Mapa final'!$AA$47="Mayor"),CONCATENATE("R9C",'Mapa final'!$O$47),"")</f>
        <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IF(AND('Mapa final'!$Y$46="Baja",'Mapa final'!$AA$46="Catastrófico"),CONCATENATE("R9C",'Mapa final'!$O$46),"")</f>
        <v/>
      </c>
      <c r="AI44" s="47" t="str">
        <f>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56"/>
      <c r="AP44" s="357"/>
      <c r="AQ44" s="357"/>
      <c r="AR44" s="357"/>
      <c r="AS44" s="357"/>
      <c r="AT44" s="358"/>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37"/>
      <c r="C45" s="237"/>
      <c r="D45" s="238"/>
      <c r="E45" s="337"/>
      <c r="F45" s="338"/>
      <c r="G45" s="338"/>
      <c r="H45" s="338"/>
      <c r="I45" s="338"/>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59"/>
      <c r="AP45" s="360"/>
      <c r="AQ45" s="360"/>
      <c r="AR45" s="360"/>
      <c r="AS45" s="360"/>
      <c r="AT45" s="361"/>
    </row>
    <row r="46" spans="1:80" ht="46.5" customHeight="1" x14ac:dyDescent="0.35">
      <c r="A46" s="74"/>
      <c r="B46" s="237"/>
      <c r="C46" s="237"/>
      <c r="D46" s="238"/>
      <c r="E46" s="332" t="s">
        <v>111</v>
      </c>
      <c r="F46" s="333"/>
      <c r="G46" s="333"/>
      <c r="H46" s="333"/>
      <c r="I46" s="350"/>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37"/>
      <c r="C47" s="237"/>
      <c r="D47" s="238"/>
      <c r="E47" s="334"/>
      <c r="F47" s="335"/>
      <c r="G47" s="335"/>
      <c r="H47" s="335"/>
      <c r="I47" s="351"/>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37"/>
      <c r="C48" s="237"/>
      <c r="D48" s="238"/>
      <c r="E48" s="334"/>
      <c r="F48" s="335"/>
      <c r="G48" s="335"/>
      <c r="H48" s="335"/>
      <c r="I48" s="351"/>
      <c r="J48" s="67" t="str">
        <f ca="1">IF(AND('Mapa final'!$Y$10="Muy Baja",'Mapa final'!$AA$10="Leve"),CONCATENATE("R3C",'Mapa final'!$O$10),"")</f>
        <v/>
      </c>
      <c r="K48" s="68" t="str">
        <f>IF(AND('Mapa final'!$Y$11="Muy Baja",'Mapa final'!$AA$11="Leve"),CONCATENATE("R3C",'Mapa final'!$O$11),"")</f>
        <v/>
      </c>
      <c r="L48" s="68" t="str">
        <f>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IF(AND('Mapa final'!$Y$11="Muy Baja",'Mapa final'!$AA$11="Menor"),CONCATENATE("R3C",'Mapa final'!$O$11),"")</f>
        <v/>
      </c>
      <c r="R48" s="68" t="str">
        <f>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
      </c>
      <c r="W48" s="59" t="str">
        <f>IF(AND('Mapa final'!$Y$11="Muy Baja",'Mapa final'!$AA$11="Moderado"),CONCATENATE("R3C",'Mapa final'!$O$11),"")</f>
        <v/>
      </c>
      <c r="X48" s="59" t="str">
        <f>IF(AND('Mapa final'!$Y$12="Muy Baja",'Mapa final'!$AA$12="Moderado"),CONCATENATE("R3C",'Mapa final'!$O$12),"")</f>
        <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IF(AND('Mapa final'!$Y$11="Muy Baja",'Mapa final'!$AA$11="Mayor"),CONCATENATE("R3C",'Mapa final'!$O$11),"")</f>
        <v/>
      </c>
      <c r="AD48" s="44" t="str">
        <f>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IF(AND('Mapa final'!$Y$11="Muy Baja",'Mapa final'!$AA$11="Catastrófico"),CONCATENATE("R3C",'Mapa final'!$O$11),"")</f>
        <v/>
      </c>
      <c r="AJ48" s="47" t="str">
        <f>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37"/>
      <c r="C49" s="237"/>
      <c r="D49" s="238"/>
      <c r="E49" s="336"/>
      <c r="F49" s="335"/>
      <c r="G49" s="335"/>
      <c r="H49" s="335"/>
      <c r="I49" s="351"/>
      <c r="J49" s="67" t="str">
        <f ca="1">IF(AND('Mapa final'!$Y$16="Muy Baja",'Mapa final'!$AA$16="Leve"),CONCATENATE("R4C",'Mapa final'!$O$16),"")</f>
        <v/>
      </c>
      <c r="K49" s="68" t="str">
        <f>IF(AND('Mapa final'!$Y$17="Muy Baja",'Mapa final'!$AA$17="Leve"),CONCATENATE("R4C",'Mapa final'!$O$17),"")</f>
        <v/>
      </c>
      <c r="L49" s="68" t="str">
        <f>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IF(AND('Mapa final'!$Y$17="Muy Baja",'Mapa final'!$AA$17="Menor"),CONCATENATE("R4C",'Mapa final'!$O$17),"")</f>
        <v/>
      </c>
      <c r="R49" s="68" t="str">
        <f>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IF(AND('Mapa final'!$Y$17="Muy Baja",'Mapa final'!$AA$17="Moderado"),CONCATENATE("R4C",'Mapa final'!$O$17),"")</f>
        <v/>
      </c>
      <c r="X49" s="59" t="str">
        <f>IF(AND('Mapa final'!$Y$18="Muy Baja",'Mapa final'!$AA$18="Moderado"),CONCATENATE("R4C",'Mapa final'!$O$18),"")</f>
        <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
      </c>
      <c r="AC49" s="44" t="str">
        <f>IF(AND('Mapa final'!$Y$17="Muy Baja",'Mapa final'!$AA$17="Mayor"),CONCATENATE("R4C",'Mapa final'!$O$17),"")</f>
        <v/>
      </c>
      <c r="AD49" s="44" t="str">
        <f>IF(AND('Mapa final'!$Y$18="Muy Baja",'Mapa final'!$AA$18="Mayor"),CONCATENATE("R4C",'Mapa final'!$O$18),"")</f>
        <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IF(AND('Mapa final'!$Y$17="Muy Baja",'Mapa final'!$AA$17="Catastrófico"),CONCATENATE("R4C",'Mapa final'!$O$17),"")</f>
        <v/>
      </c>
      <c r="AJ49" s="47" t="str">
        <f>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37"/>
      <c r="C50" s="237"/>
      <c r="D50" s="238"/>
      <c r="E50" s="336"/>
      <c r="F50" s="335"/>
      <c r="G50" s="335"/>
      <c r="H50" s="335"/>
      <c r="I50" s="351"/>
      <c r="J50" s="67" t="str">
        <f ca="1">IF(AND('Mapa final'!$Y$22="Muy Baja",'Mapa final'!$AA$22="Leve"),CONCATENATE("R5C",'Mapa final'!$O$22),"")</f>
        <v/>
      </c>
      <c r="K50" s="68" t="str">
        <f>IF(AND('Mapa final'!$Y$23="Muy Baja",'Mapa final'!$AA$23="Leve"),CONCATENATE("R5C",'Mapa final'!$O$23),"")</f>
        <v/>
      </c>
      <c r="L50" s="68" t="str">
        <f>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 ca="1">IF(AND('Mapa final'!$Y$22="Muy Baja",'Mapa final'!$AA$22="Menor"),CONCATENATE("R5C",'Mapa final'!$O$22),"")</f>
        <v/>
      </c>
      <c r="Q50" s="68" t="str">
        <f>IF(AND('Mapa final'!$Y$23="Muy Baja",'Mapa final'!$AA$23="Menor"),CONCATENATE("R5C",'Mapa final'!$O$23),"")</f>
        <v/>
      </c>
      <c r="R50" s="68" t="str">
        <f>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 ca="1">IF(AND('Mapa final'!$Y$22="Muy Baja",'Mapa final'!$AA$22="Moderado"),CONCATENATE("R5C",'Mapa final'!$O$22),"")</f>
        <v/>
      </c>
      <c r="W50" s="59" t="str">
        <f>IF(AND('Mapa final'!$Y$23="Muy Baja",'Mapa final'!$AA$23="Moderado"),CONCATENATE("R5C",'Mapa final'!$O$23),"")</f>
        <v/>
      </c>
      <c r="X50" s="59" t="str">
        <f>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 ca="1">IF(AND('Mapa final'!$Y$22="Muy Baja",'Mapa final'!$AA$22="Mayor"),CONCATENATE("R5C",'Mapa final'!$O$22),"")</f>
        <v/>
      </c>
      <c r="AC50" s="44" t="str">
        <f>IF(AND('Mapa final'!$Y$23="Muy Baja",'Mapa final'!$AA$23="Mayor"),CONCATENATE("R5C",'Mapa final'!$O$23),"")</f>
        <v/>
      </c>
      <c r="AD50" s="44" t="str">
        <f>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 ca="1">IF(AND('Mapa final'!$Y$22="Muy Baja",'Mapa final'!$AA$22="Catastrófico"),CONCATENATE("R5C",'Mapa final'!$O$22),"")</f>
        <v/>
      </c>
      <c r="AI50" s="47" t="str">
        <f>IF(AND('Mapa final'!$Y$23="Muy Baja",'Mapa final'!$AA$23="Catastrófico"),CONCATENATE("R5C",'Mapa final'!$O$23),"")</f>
        <v/>
      </c>
      <c r="AJ50" s="47" t="str">
        <f>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37"/>
      <c r="C51" s="237"/>
      <c r="D51" s="238"/>
      <c r="E51" s="336"/>
      <c r="F51" s="335"/>
      <c r="G51" s="335"/>
      <c r="H51" s="335"/>
      <c r="I51" s="351"/>
      <c r="J51" s="67" t="str">
        <f>IF(AND('Mapa final'!$Y$28="Muy Baja",'Mapa final'!$AA$28="Leve"),CONCATENATE("R6C",'Mapa final'!$O$28),"")</f>
        <v/>
      </c>
      <c r="K51" s="68" t="str">
        <f>IF(AND('Mapa final'!$Y$29="Muy Baja",'Mapa final'!$AA$29="Leve"),CONCATENATE("R6C",'Mapa final'!$O$29),"")</f>
        <v/>
      </c>
      <c r="L51" s="68" t="str">
        <f>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IF(AND('Mapa final'!$Y$28="Muy Baja",'Mapa final'!$AA$28="Menor"),CONCATENATE("R6C",'Mapa final'!$O$28),"")</f>
        <v/>
      </c>
      <c r="Q51" s="68" t="str">
        <f>IF(AND('Mapa final'!$Y$29="Muy Baja",'Mapa final'!$AA$29="Menor"),CONCATENATE("R6C",'Mapa final'!$O$29),"")</f>
        <v/>
      </c>
      <c r="R51" s="68" t="str">
        <f>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IF(AND('Mapa final'!$Y$28="Muy Baja",'Mapa final'!$AA$28="Moderado"),CONCATENATE("R6C",'Mapa final'!$O$28),"")</f>
        <v/>
      </c>
      <c r="W51" s="59" t="str">
        <f>IF(AND('Mapa final'!$Y$29="Muy Baja",'Mapa final'!$AA$29="Moderado"),CONCATENATE("R6C",'Mapa final'!$O$29),"")</f>
        <v/>
      </c>
      <c r="X51" s="59" t="str">
        <f>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IF(AND('Mapa final'!$Y$28="Muy Baja",'Mapa final'!$AA$28="Mayor"),CONCATENATE("R6C",'Mapa final'!$O$28),"")</f>
        <v/>
      </c>
      <c r="AC51" s="44" t="str">
        <f>IF(AND('Mapa final'!$Y$29="Muy Baja",'Mapa final'!$AA$29="Mayor"),CONCATENATE("R6C",'Mapa final'!$O$29),"")</f>
        <v/>
      </c>
      <c r="AD51" s="44" t="str">
        <f>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IF(AND('Mapa final'!$Y$28="Muy Baja",'Mapa final'!$AA$28="Catastrófico"),CONCATENATE("R6C",'Mapa final'!$O$28),"")</f>
        <v/>
      </c>
      <c r="AI51" s="47" t="str">
        <f>IF(AND('Mapa final'!$Y$29="Muy Baja",'Mapa final'!$AA$29="Catastrófico"),CONCATENATE("R6C",'Mapa final'!$O$29),"")</f>
        <v/>
      </c>
      <c r="AJ51" s="47" t="str">
        <f>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37"/>
      <c r="C52" s="237"/>
      <c r="D52" s="238"/>
      <c r="E52" s="336"/>
      <c r="F52" s="335"/>
      <c r="G52" s="335"/>
      <c r="H52" s="335"/>
      <c r="I52" s="351"/>
      <c r="J52" s="67" t="str">
        <f>IF(AND('Mapa final'!$Y$34="Muy Baja",'Mapa final'!$AA$34="Leve"),CONCATENATE("R7C",'Mapa final'!$O$34),"")</f>
        <v/>
      </c>
      <c r="K52" s="68" t="str">
        <f>IF(AND('Mapa final'!$Y$35="Muy Baja",'Mapa final'!$AA$35="Leve"),CONCATENATE("R7C",'Mapa final'!$O$35),"")</f>
        <v/>
      </c>
      <c r="L52" s="68" t="str">
        <f>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IF(AND('Mapa final'!$Y$34="Muy Baja",'Mapa final'!$AA$34="Menor"),CONCATENATE("R7C",'Mapa final'!$O$34),"")</f>
        <v/>
      </c>
      <c r="Q52" s="68" t="str">
        <f>IF(AND('Mapa final'!$Y$35="Muy Baja",'Mapa final'!$AA$35="Menor"),CONCATENATE("R7C",'Mapa final'!$O$35),"")</f>
        <v/>
      </c>
      <c r="R52" s="68" t="str">
        <f>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IF(AND('Mapa final'!$Y$34="Muy Baja",'Mapa final'!$AA$34="Moderado"),CONCATENATE("R7C",'Mapa final'!$O$34),"")</f>
        <v/>
      </c>
      <c r="W52" s="59" t="str">
        <f>IF(AND('Mapa final'!$Y$35="Muy Baja",'Mapa final'!$AA$35="Moderado"),CONCATENATE("R7C",'Mapa final'!$O$35),"")</f>
        <v/>
      </c>
      <c r="X52" s="59" t="str">
        <f>IF(AND('Mapa final'!$Y$36="Muy Baja",'Mapa final'!$AA$36="Moderado"),CONCATENATE("R7C",'Mapa final'!$O$36),"")</f>
        <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IF(AND('Mapa final'!$Y$34="Muy Baja",'Mapa final'!$AA$34="Mayor"),CONCATENATE("R7C",'Mapa final'!$O$34),"")</f>
        <v/>
      </c>
      <c r="AC52" s="44" t="str">
        <f>IF(AND('Mapa final'!$Y$35="Muy Baja",'Mapa final'!$AA$35="Mayor"),CONCATENATE("R7C",'Mapa final'!$O$35),"")</f>
        <v/>
      </c>
      <c r="AD52" s="44" t="str">
        <f>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IF(AND('Mapa final'!$Y$34="Muy Baja",'Mapa final'!$AA$34="Catastrófico"),CONCATENATE("R7C",'Mapa final'!$O$34),"")</f>
        <v/>
      </c>
      <c r="AI52" s="47" t="str">
        <f>IF(AND('Mapa final'!$Y$35="Muy Baja",'Mapa final'!$AA$35="Catastrófico"),CONCATENATE("R7C",'Mapa final'!$O$35),"")</f>
        <v/>
      </c>
      <c r="AJ52" s="47" t="str">
        <f>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37"/>
      <c r="C53" s="237"/>
      <c r="D53" s="238"/>
      <c r="E53" s="336"/>
      <c r="F53" s="335"/>
      <c r="G53" s="335"/>
      <c r="H53" s="335"/>
      <c r="I53" s="351"/>
      <c r="J53" s="67" t="str">
        <f>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37"/>
      <c r="C54" s="237"/>
      <c r="D54" s="238"/>
      <c r="E54" s="336"/>
      <c r="F54" s="335"/>
      <c r="G54" s="335"/>
      <c r="H54" s="335"/>
      <c r="I54" s="351"/>
      <c r="J54" s="67" t="str">
        <f>IF(AND('Mapa final'!$Y$46="Muy Baja",'Mapa final'!$AA$46="Leve"),CONCATENATE("R9C",'Mapa final'!$O$46),"")</f>
        <v/>
      </c>
      <c r="K54" s="68" t="str">
        <f>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IF(AND('Mapa final'!$Y$46="Muy Baja",'Mapa final'!$AA$46="Menor"),CONCATENATE("R9C",'Mapa final'!$O$46),"")</f>
        <v/>
      </c>
      <c r="Q54" s="68" t="str">
        <f>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IF(AND('Mapa final'!$Y$46="Muy Baja",'Mapa final'!$AA$46="Moderado"),CONCATENATE("R9C",'Mapa final'!$O$46),"")</f>
        <v/>
      </c>
      <c r="W54" s="59" t="str">
        <f>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IF(AND('Mapa final'!$Y$46="Muy Baja",'Mapa final'!$AA$46="Mayor"),CONCATENATE("R9C",'Mapa final'!$O$46),"")</f>
        <v/>
      </c>
      <c r="AC54" s="44" t="str">
        <f>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IF(AND('Mapa final'!$Y$46="Muy Baja",'Mapa final'!$AA$46="Catastrófico"),CONCATENATE("R9C",'Mapa final'!$O$46),"")</f>
        <v/>
      </c>
      <c r="AI54" s="47" t="str">
        <f>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37"/>
      <c r="C55" s="237"/>
      <c r="D55" s="238"/>
      <c r="E55" s="337"/>
      <c r="F55" s="338"/>
      <c r="G55" s="338"/>
      <c r="H55" s="338"/>
      <c r="I55" s="352"/>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32" t="s">
        <v>110</v>
      </c>
      <c r="K56" s="333"/>
      <c r="L56" s="333"/>
      <c r="M56" s="333"/>
      <c r="N56" s="333"/>
      <c r="O56" s="350"/>
      <c r="P56" s="332" t="s">
        <v>109</v>
      </c>
      <c r="Q56" s="333"/>
      <c r="R56" s="333"/>
      <c r="S56" s="333"/>
      <c r="T56" s="333"/>
      <c r="U56" s="350"/>
      <c r="V56" s="332" t="s">
        <v>108</v>
      </c>
      <c r="W56" s="333"/>
      <c r="X56" s="333"/>
      <c r="Y56" s="333"/>
      <c r="Z56" s="333"/>
      <c r="AA56" s="350"/>
      <c r="AB56" s="332" t="s">
        <v>107</v>
      </c>
      <c r="AC56" s="371"/>
      <c r="AD56" s="333"/>
      <c r="AE56" s="333"/>
      <c r="AF56" s="333"/>
      <c r="AG56" s="350"/>
      <c r="AH56" s="332" t="s">
        <v>106</v>
      </c>
      <c r="AI56" s="333"/>
      <c r="AJ56" s="333"/>
      <c r="AK56" s="333"/>
      <c r="AL56" s="333"/>
      <c r="AM56" s="350"/>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2" t="s">
        <v>55</v>
      </c>
      <c r="C1" s="372"/>
      <c r="D1" s="37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3" t="s">
        <v>63</v>
      </c>
      <c r="C1" s="373"/>
      <c r="D1" s="373"/>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4" t="s">
        <v>78</v>
      </c>
      <c r="C1" s="375"/>
      <c r="D1" s="375"/>
      <c r="E1" s="375"/>
      <c r="F1" s="376"/>
    </row>
    <row r="2" spans="2:6" ht="16.5" thickBot="1" x14ac:dyDescent="0.3">
      <c r="B2" s="80"/>
      <c r="C2" s="80"/>
      <c r="D2" s="80"/>
      <c r="E2" s="80"/>
      <c r="F2" s="80"/>
    </row>
    <row r="3" spans="2:6" ht="16.5" thickBot="1" x14ac:dyDescent="0.25">
      <c r="B3" s="378" t="s">
        <v>64</v>
      </c>
      <c r="C3" s="379"/>
      <c r="D3" s="379"/>
      <c r="E3" s="92" t="s">
        <v>65</v>
      </c>
      <c r="F3" s="93" t="s">
        <v>66</v>
      </c>
    </row>
    <row r="4" spans="2:6" ht="31.5" x14ac:dyDescent="0.2">
      <c r="B4" s="380" t="s">
        <v>67</v>
      </c>
      <c r="C4" s="382" t="s">
        <v>13</v>
      </c>
      <c r="D4" s="81" t="s">
        <v>14</v>
      </c>
      <c r="E4" s="82" t="s">
        <v>68</v>
      </c>
      <c r="F4" s="83">
        <v>0.25</v>
      </c>
    </row>
    <row r="5" spans="2:6" ht="47.25" x14ac:dyDescent="0.2">
      <c r="B5" s="381"/>
      <c r="C5" s="383"/>
      <c r="D5" s="84" t="s">
        <v>15</v>
      </c>
      <c r="E5" s="85" t="s">
        <v>69</v>
      </c>
      <c r="F5" s="86">
        <v>0.15</v>
      </c>
    </row>
    <row r="6" spans="2:6" ht="47.25" x14ac:dyDescent="0.2">
      <c r="B6" s="381"/>
      <c r="C6" s="383"/>
      <c r="D6" s="84" t="s">
        <v>16</v>
      </c>
      <c r="E6" s="85" t="s">
        <v>70</v>
      </c>
      <c r="F6" s="86">
        <v>0.1</v>
      </c>
    </row>
    <row r="7" spans="2:6" ht="63" x14ac:dyDescent="0.2">
      <c r="B7" s="381"/>
      <c r="C7" s="383" t="s">
        <v>17</v>
      </c>
      <c r="D7" s="84" t="s">
        <v>10</v>
      </c>
      <c r="E7" s="85" t="s">
        <v>71</v>
      </c>
      <c r="F7" s="86">
        <v>0.25</v>
      </c>
    </row>
    <row r="8" spans="2:6" ht="31.5" x14ac:dyDescent="0.2">
      <c r="B8" s="381"/>
      <c r="C8" s="383"/>
      <c r="D8" s="84" t="s">
        <v>9</v>
      </c>
      <c r="E8" s="85" t="s">
        <v>72</v>
      </c>
      <c r="F8" s="86">
        <v>0.15</v>
      </c>
    </row>
    <row r="9" spans="2:6" ht="47.25" x14ac:dyDescent="0.2">
      <c r="B9" s="381" t="s">
        <v>160</v>
      </c>
      <c r="C9" s="383" t="s">
        <v>18</v>
      </c>
      <c r="D9" s="84" t="s">
        <v>19</v>
      </c>
      <c r="E9" s="85" t="s">
        <v>73</v>
      </c>
      <c r="F9" s="87" t="s">
        <v>74</v>
      </c>
    </row>
    <row r="10" spans="2:6" ht="63" x14ac:dyDescent="0.2">
      <c r="B10" s="381"/>
      <c r="C10" s="383"/>
      <c r="D10" s="84" t="s">
        <v>20</v>
      </c>
      <c r="E10" s="85" t="s">
        <v>75</v>
      </c>
      <c r="F10" s="87" t="s">
        <v>74</v>
      </c>
    </row>
    <row r="11" spans="2:6" ht="47.25" x14ac:dyDescent="0.2">
      <c r="B11" s="381"/>
      <c r="C11" s="383" t="s">
        <v>21</v>
      </c>
      <c r="D11" s="84" t="s">
        <v>22</v>
      </c>
      <c r="E11" s="85" t="s">
        <v>76</v>
      </c>
      <c r="F11" s="87" t="s">
        <v>74</v>
      </c>
    </row>
    <row r="12" spans="2:6" ht="47.25" x14ac:dyDescent="0.2">
      <c r="B12" s="381"/>
      <c r="C12" s="383"/>
      <c r="D12" s="84" t="s">
        <v>23</v>
      </c>
      <c r="E12" s="85" t="s">
        <v>77</v>
      </c>
      <c r="F12" s="87" t="s">
        <v>74</v>
      </c>
    </row>
    <row r="13" spans="2:6" ht="31.5" x14ac:dyDescent="0.2">
      <c r="B13" s="381"/>
      <c r="C13" s="383" t="s">
        <v>24</v>
      </c>
      <c r="D13" s="84" t="s">
        <v>117</v>
      </c>
      <c r="E13" s="85" t="s">
        <v>120</v>
      </c>
      <c r="F13" s="87" t="s">
        <v>74</v>
      </c>
    </row>
    <row r="14" spans="2:6" ht="32.25" thickBot="1" x14ac:dyDescent="0.25">
      <c r="B14" s="384"/>
      <c r="C14" s="385"/>
      <c r="D14" s="88" t="s">
        <v>118</v>
      </c>
      <c r="E14" s="89" t="s">
        <v>119</v>
      </c>
      <c r="F14" s="90" t="s">
        <v>74</v>
      </c>
    </row>
    <row r="15" spans="2:6" ht="49.5" customHeight="1" x14ac:dyDescent="0.2">
      <c r="B15" s="377" t="s">
        <v>157</v>
      </c>
      <c r="C15" s="377"/>
      <c r="D15" s="377"/>
      <c r="E15" s="377"/>
      <c r="F15" s="377"/>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lenovo</cp:lastModifiedBy>
  <cp:lastPrinted>2020-05-13T01:12:22Z</cp:lastPrinted>
  <dcterms:created xsi:type="dcterms:W3CDTF">2020-03-24T23:12:47Z</dcterms:created>
  <dcterms:modified xsi:type="dcterms:W3CDTF">2023-01-18T16:42:45Z</dcterms:modified>
</cp:coreProperties>
</file>