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2026\Mapa Riesgos Actualizados\"/>
    </mc:Choice>
  </mc:AlternateContent>
  <xr:revisionPtr revIDLastSave="56" documentId="8_{CD510FD2-A032-4969-8255-9E3A79F5D1B9}" xr6:coauthVersionLast="41" xr6:coauthVersionMax="41" xr10:uidLastSave="{88E370EF-4CC2-4FA3-A949-6AD0ADDCC33C}"/>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 r:id="rId11"/>
  </externalReferences>
  <calcPr calcId="191029"/>
  <pivotCaches>
    <pivotCache cacheId="0" r:id="rId12"/>
  </pivotCaches>
</workbook>
</file>

<file path=xl/calcChain.xml><?xml version="1.0" encoding="utf-8"?>
<calcChain xmlns="http://schemas.openxmlformats.org/spreadsheetml/2006/main">
  <c r="AB53" i="1" l="1"/>
  <c r="AA53" i="1" s="1"/>
  <c r="Y53" i="1"/>
  <c r="AC53" i="1" s="1"/>
  <c r="T53" i="1"/>
  <c r="AA52" i="1"/>
  <c r="AC52" i="1" s="1"/>
  <c r="Y52" i="1"/>
  <c r="T52" i="1"/>
  <c r="AB51" i="1"/>
  <c r="AA51" i="1" s="1"/>
  <c r="Z51" i="1"/>
  <c r="Y51" i="1"/>
  <c r="AC51" i="1" s="1"/>
  <c r="T51" i="1"/>
  <c r="T57" i="1" l="1"/>
  <c r="AA58" i="1"/>
  <c r="Y58" i="1"/>
  <c r="AC58" i="1" s="1"/>
  <c r="T58" i="1"/>
  <c r="Q58" i="1"/>
  <c r="AB57" i="1"/>
  <c r="AA57" i="1" s="1"/>
  <c r="Q57" i="1"/>
  <c r="Y57" i="1" s="1"/>
  <c r="AA48" i="1"/>
  <c r="Y48" i="1"/>
  <c r="T48" i="1"/>
  <c r="AA47" i="1"/>
  <c r="Z47" i="1"/>
  <c r="Y47" i="1"/>
  <c r="AC47" i="1" s="1"/>
  <c r="T47" i="1"/>
  <c r="AA46" i="1"/>
  <c r="Z46" i="1"/>
  <c r="Y46" i="1"/>
  <c r="AC46" i="1" s="1"/>
  <c r="T46" i="1"/>
  <c r="AB45" i="1"/>
  <c r="AA45" i="1" s="1"/>
  <c r="Z45" i="1"/>
  <c r="Y45" i="1"/>
  <c r="AC45" i="1" s="1"/>
  <c r="T45" i="1"/>
  <c r="AB39" i="1"/>
  <c r="AA39" i="1" s="1"/>
  <c r="T39" i="1"/>
  <c r="AA23" i="1"/>
  <c r="Z23" i="1"/>
  <c r="Y23" i="1"/>
  <c r="AC23" i="1" s="1"/>
  <c r="AA22" i="1"/>
  <c r="Z22" i="1"/>
  <c r="Y22" i="1"/>
  <c r="AC22" i="1" s="1"/>
  <c r="AA21" i="1"/>
  <c r="Z21" i="1"/>
  <c r="Y21" i="1"/>
  <c r="AC21" i="1" s="1"/>
  <c r="AA16" i="1"/>
  <c r="Y16" i="1"/>
  <c r="Z27" i="1"/>
  <c r="AA15" i="1"/>
  <c r="Z15" i="1"/>
  <c r="Y15" i="1"/>
  <c r="AC15" i="1" s="1"/>
  <c r="AA10" i="1"/>
  <c r="Y10" i="1"/>
  <c r="AC10" i="1" s="1"/>
  <c r="AB9" i="1"/>
  <c r="AA9" i="1" s="1"/>
  <c r="X9" i="1"/>
  <c r="Y9" i="1" s="1"/>
  <c r="AC9" i="1" s="1"/>
  <c r="K62" i="1"/>
  <c r="K61" i="1"/>
  <c r="K60" i="1"/>
  <c r="K59" i="1"/>
  <c r="K58" i="1"/>
  <c r="L57" i="1"/>
  <c r="M57" i="1" s="1"/>
  <c r="K57" i="1"/>
  <c r="H57" i="1"/>
  <c r="K56" i="1"/>
  <c r="K55" i="1"/>
  <c r="K54" i="1"/>
  <c r="K53" i="1"/>
  <c r="K52" i="1"/>
  <c r="K51" i="1"/>
  <c r="L51" i="1" s="1"/>
  <c r="M51" i="1" s="1"/>
  <c r="I51" i="1"/>
  <c r="H51" i="1"/>
  <c r="K50" i="1"/>
  <c r="K49" i="1"/>
  <c r="K48" i="1"/>
  <c r="K47" i="1"/>
  <c r="K46" i="1"/>
  <c r="K45" i="1"/>
  <c r="L45" i="1" s="1"/>
  <c r="M45" i="1" s="1"/>
  <c r="I45" i="1"/>
  <c r="H45" i="1"/>
  <c r="AC57" i="1" l="1"/>
  <c r="AC48" i="1"/>
  <c r="Y39" i="1"/>
  <c r="AC39" i="1" s="1"/>
  <c r="Z39" i="1"/>
  <c r="AC16" i="1"/>
  <c r="Z16" i="1"/>
  <c r="Z10" i="1"/>
  <c r="Z9" i="1"/>
  <c r="N57" i="1"/>
  <c r="N51" i="1"/>
  <c r="N45" i="1"/>
  <c r="K38" i="1"/>
  <c r="K37" i="1"/>
  <c r="K36" i="1"/>
  <c r="K35" i="1"/>
  <c r="K34" i="1"/>
  <c r="K33" i="1"/>
  <c r="L33" i="1" s="1"/>
  <c r="M33" i="1" s="1"/>
  <c r="H33" i="1"/>
  <c r="I33" i="1" s="1"/>
  <c r="K32" i="1"/>
  <c r="K31" i="1"/>
  <c r="K30" i="1"/>
  <c r="K29" i="1"/>
  <c r="K28" i="1"/>
  <c r="K27" i="1"/>
  <c r="L27" i="1" s="1"/>
  <c r="M27" i="1" s="1"/>
  <c r="H27" i="1"/>
  <c r="I27" i="1" s="1"/>
  <c r="T38" i="1"/>
  <c r="Q38" i="1"/>
  <c r="T37" i="1"/>
  <c r="Q37" i="1"/>
  <c r="AB38" i="1" s="1"/>
  <c r="AA38" i="1" s="1"/>
  <c r="T36" i="1"/>
  <c r="Q36" i="1"/>
  <c r="X37" i="1" s="1"/>
  <c r="T35" i="1"/>
  <c r="Q35" i="1"/>
  <c r="AB36" i="1" s="1"/>
  <c r="AA36" i="1" s="1"/>
  <c r="T34" i="1"/>
  <c r="Q34" i="1"/>
  <c r="AB35" i="1" s="1"/>
  <c r="AA35" i="1" s="1"/>
  <c r="T33" i="1"/>
  <c r="Q33" i="1"/>
  <c r="X34" i="1" s="1"/>
  <c r="T32" i="1"/>
  <c r="Q32" i="1"/>
  <c r="X32" i="1" s="1"/>
  <c r="T31" i="1"/>
  <c r="Q31" i="1"/>
  <c r="AB32" i="1" s="1"/>
  <c r="AA32" i="1" s="1"/>
  <c r="T30" i="1"/>
  <c r="Q30" i="1"/>
  <c r="X31" i="1" s="1"/>
  <c r="T29" i="1"/>
  <c r="Q29" i="1"/>
  <c r="T28" i="1"/>
  <c r="Q28" i="1"/>
  <c r="T27" i="1"/>
  <c r="Q27" i="1"/>
  <c r="T26" i="1"/>
  <c r="Q26" i="1"/>
  <c r="X26" i="1" s="1"/>
  <c r="T25" i="1"/>
  <c r="Q25" i="1"/>
  <c r="AB26" i="1" s="1"/>
  <c r="AA26" i="1" s="1"/>
  <c r="T24" i="1"/>
  <c r="Q24" i="1"/>
  <c r="X25" i="1" s="1"/>
  <c r="T23" i="1"/>
  <c r="Q23" i="1"/>
  <c r="T22" i="1"/>
  <c r="Q22" i="1"/>
  <c r="T21" i="1"/>
  <c r="Q21" i="1"/>
  <c r="T20" i="1"/>
  <c r="Q20" i="1"/>
  <c r="T19" i="1"/>
  <c r="Q19" i="1"/>
  <c r="AB20" i="1" s="1"/>
  <c r="AA20" i="1" s="1"/>
  <c r="T18" i="1"/>
  <c r="Q18" i="1"/>
  <c r="X19" i="1" s="1"/>
  <c r="T17" i="1"/>
  <c r="Q17" i="1"/>
  <c r="AB18" i="1" s="1"/>
  <c r="AA18" i="1" s="1"/>
  <c r="T16" i="1"/>
  <c r="Q16" i="1"/>
  <c r="AB17" i="1" s="1"/>
  <c r="AA17" i="1" s="1"/>
  <c r="T15" i="1"/>
  <c r="Q15" i="1"/>
  <c r="T14" i="1"/>
  <c r="Q14" i="1"/>
  <c r="T13" i="1"/>
  <c r="Q13" i="1"/>
  <c r="AB14" i="1" s="1"/>
  <c r="AA14" i="1" s="1"/>
  <c r="X13" i="1"/>
  <c r="T10" i="1"/>
  <c r="Q10" i="1"/>
  <c r="T9" i="1"/>
  <c r="Q9" i="1"/>
  <c r="N33" i="1" l="1"/>
  <c r="N27" i="1"/>
  <c r="Y34" i="1"/>
  <c r="Z34" i="1"/>
  <c r="Y37" i="1"/>
  <c r="Z37" i="1"/>
  <c r="X38" i="1"/>
  <c r="AB34" i="1"/>
  <c r="AA34" i="1" s="1"/>
  <c r="X36" i="1"/>
  <c r="AB37" i="1"/>
  <c r="AA37" i="1" s="1"/>
  <c r="AB33" i="1"/>
  <c r="AA33" i="1" s="1"/>
  <c r="X35" i="1"/>
  <c r="Y31" i="1"/>
  <c r="Z31" i="1"/>
  <c r="Y32" i="1"/>
  <c r="AC32" i="1" s="1"/>
  <c r="Z32" i="1"/>
  <c r="AA27" i="1"/>
  <c r="AB31" i="1"/>
  <c r="AA31" i="1" s="1"/>
  <c r="AB30" i="1"/>
  <c r="AA30" i="1" s="1"/>
  <c r="X27" i="1"/>
  <c r="X30" i="1"/>
  <c r="Z25" i="1"/>
  <c r="Y25" i="1"/>
  <c r="Z26" i="1"/>
  <c r="Y26" i="1"/>
  <c r="AC26" i="1" s="1"/>
  <c r="X24" i="1"/>
  <c r="AB25" i="1"/>
  <c r="AA25" i="1" s="1"/>
  <c r="AB24" i="1"/>
  <c r="AA24" i="1" s="1"/>
  <c r="Y19" i="1"/>
  <c r="Z19" i="1"/>
  <c r="AB19" i="1"/>
  <c r="AA19" i="1" s="1"/>
  <c r="X18" i="1"/>
  <c r="X17" i="1"/>
  <c r="X20" i="1"/>
  <c r="Y13" i="1"/>
  <c r="Z13" i="1"/>
  <c r="X14" i="1"/>
  <c r="AB13" i="1"/>
  <c r="AA13" i="1" s="1"/>
  <c r="AB28" i="1" l="1"/>
  <c r="AC19" i="1"/>
  <c r="Z36" i="1"/>
  <c r="Y36" i="1"/>
  <c r="AC36" i="1" s="1"/>
  <c r="AC34" i="1"/>
  <c r="Z35" i="1"/>
  <c r="Y35" i="1"/>
  <c r="AC35" i="1" s="1"/>
  <c r="Z38" i="1"/>
  <c r="Y38" i="1"/>
  <c r="AC38" i="1" s="1"/>
  <c r="Z33" i="1"/>
  <c r="Y33" i="1"/>
  <c r="AC33" i="1" s="1"/>
  <c r="AC37" i="1"/>
  <c r="Z30" i="1"/>
  <c r="Y30" i="1"/>
  <c r="AC30" i="1" s="1"/>
  <c r="Y27" i="1"/>
  <c r="AC27" i="1" s="1"/>
  <c r="X28" i="1"/>
  <c r="AC31" i="1"/>
  <c r="AC25" i="1"/>
  <c r="Z24" i="1"/>
  <c r="Y24" i="1"/>
  <c r="AC24" i="1" s="1"/>
  <c r="Y20" i="1"/>
  <c r="AC20" i="1" s="1"/>
  <c r="Z20" i="1"/>
  <c r="Z17" i="1"/>
  <c r="Y17" i="1"/>
  <c r="AC17" i="1" s="1"/>
  <c r="Z18" i="1"/>
  <c r="Y18" i="1"/>
  <c r="AC18" i="1" s="1"/>
  <c r="AC13" i="1"/>
  <c r="Z14" i="1"/>
  <c r="Y14" i="1"/>
  <c r="AC14" i="1" s="1"/>
  <c r="Z28" i="1" l="1"/>
  <c r="Y28" i="1"/>
  <c r="AA28" i="1"/>
  <c r="AA29" i="1"/>
  <c r="AC28" i="1" l="1"/>
  <c r="Y29" i="1"/>
  <c r="AC29" i="1" s="1"/>
  <c r="K10" i="1"/>
  <c r="K11" i="1"/>
  <c r="K12" i="1"/>
  <c r="K13" i="1"/>
  <c r="K14" i="1"/>
  <c r="K16" i="1"/>
  <c r="K17" i="1"/>
  <c r="K18" i="1"/>
  <c r="K19" i="1"/>
  <c r="K20" i="1"/>
  <c r="K22" i="1"/>
  <c r="K23" i="1"/>
  <c r="K24" i="1"/>
  <c r="K25" i="1"/>
  <c r="K26" i="1"/>
  <c r="H9" i="1" l="1"/>
  <c r="H39" i="1"/>
  <c r="H21" i="1"/>
  <c r="H15" i="1"/>
  <c r="K41" i="1"/>
  <c r="K43" i="1"/>
  <c r="K42" i="1"/>
  <c r="K40" i="1"/>
  <c r="K44" i="1"/>
  <c r="F221" i="13" l="1"/>
  <c r="F211" i="13"/>
  <c r="F212" i="13"/>
  <c r="F213" i="13"/>
  <c r="F214" i="13"/>
  <c r="F215" i="13"/>
  <c r="F216" i="13"/>
  <c r="F217" i="13"/>
  <c r="F218" i="13"/>
  <c r="F219" i="13"/>
  <c r="F220" i="13"/>
  <c r="F210" i="13"/>
  <c r="B221" i="13" a="1"/>
  <c r="B221" i="13" l="1"/>
  <c r="K21" i="1" l="1"/>
  <c r="K15" i="1"/>
  <c r="K9"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I39" i="1" l="1"/>
  <c r="I21" i="1"/>
  <c r="I15" i="1"/>
  <c r="T52" i="19" l="1"/>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D47" i="19" l="1"/>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L9" i="1" l="1"/>
  <c r="L15" i="1"/>
  <c r="K39" i="1"/>
  <c r="L39" i="1" s="1"/>
  <c r="L21" i="1"/>
  <c r="N9" i="1" l="1"/>
  <c r="M9" i="1"/>
  <c r="Z42" i="18"/>
  <c r="AF34" i="18"/>
  <c r="N42" i="18"/>
  <c r="AL10" i="18"/>
  <c r="AF26" i="18"/>
  <c r="N18" i="18"/>
  <c r="N26" i="18"/>
  <c r="N10" i="18"/>
  <c r="AF18" i="18"/>
  <c r="AL34" i="18"/>
  <c r="T10" i="18"/>
  <c r="AL42" i="18"/>
  <c r="N34" i="18"/>
  <c r="AF10" i="18"/>
  <c r="T34" i="18"/>
  <c r="Z34" i="18"/>
  <c r="T18" i="18"/>
  <c r="AF42" i="18"/>
  <c r="Z18" i="18"/>
  <c r="AL26" i="18"/>
  <c r="T42" i="18"/>
  <c r="Z10" i="18"/>
  <c r="T26" i="18"/>
  <c r="AL18" i="18"/>
  <c r="Z26" i="18"/>
  <c r="J20" i="18"/>
  <c r="AB28" i="18"/>
  <c r="P44" i="18"/>
  <c r="V20" i="18"/>
  <c r="AB44" i="18"/>
  <c r="P20" i="18"/>
  <c r="V28" i="18"/>
  <c r="AH28" i="18"/>
  <c r="V36" i="18"/>
  <c r="J28" i="18"/>
  <c r="AB36" i="18"/>
  <c r="AH36" i="18"/>
  <c r="AB20" i="18"/>
  <c r="AH12" i="18"/>
  <c r="J44" i="18"/>
  <c r="P28" i="18"/>
  <c r="P12" i="18"/>
  <c r="AH20" i="18"/>
  <c r="AB12" i="18"/>
  <c r="J12" i="18"/>
  <c r="P36" i="18"/>
  <c r="V44" i="18"/>
  <c r="J36" i="18"/>
  <c r="V12" i="18"/>
  <c r="AH44" i="18"/>
  <c r="L16" i="18"/>
  <c r="L8" i="18"/>
  <c r="R32" i="18"/>
  <c r="R8" i="18"/>
  <c r="AJ32" i="18"/>
  <c r="X40" i="18"/>
  <c r="L24" i="18"/>
  <c r="N21" i="1"/>
  <c r="X8" i="18"/>
  <c r="R40" i="18"/>
  <c r="X16" i="18"/>
  <c r="AJ40" i="18"/>
  <c r="AD40" i="18"/>
  <c r="L32" i="18"/>
  <c r="AD24" i="18"/>
  <c r="X24" i="18"/>
  <c r="AJ8" i="18"/>
  <c r="AJ24" i="18"/>
  <c r="R24" i="18"/>
  <c r="R16" i="18"/>
  <c r="AD16" i="18"/>
  <c r="AJ16" i="18"/>
  <c r="X32" i="18"/>
  <c r="AD8" i="18"/>
  <c r="AD32" i="18"/>
  <c r="M21" i="1"/>
  <c r="L40" i="18"/>
  <c r="J18" i="18"/>
  <c r="V34" i="18"/>
  <c r="AH10" i="18"/>
  <c r="AH18" i="18"/>
  <c r="P18" i="18"/>
  <c r="AB34" i="18"/>
  <c r="P26" i="18"/>
  <c r="P34" i="18"/>
  <c r="AB10" i="18"/>
  <c r="P10" i="18"/>
  <c r="AH26" i="18"/>
  <c r="AB26" i="18"/>
  <c r="J10" i="18"/>
  <c r="AB18" i="18"/>
  <c r="V26" i="18"/>
  <c r="AH34" i="18"/>
  <c r="J26" i="18"/>
  <c r="V10" i="18"/>
  <c r="J34" i="18"/>
  <c r="AH42" i="18"/>
  <c r="V18" i="18"/>
  <c r="V42" i="18"/>
  <c r="AB42" i="18"/>
  <c r="P42" i="18"/>
  <c r="J42" i="18"/>
  <c r="X42" i="18"/>
  <c r="AD10" i="18"/>
  <c r="AJ26" i="18"/>
  <c r="L42" i="18"/>
  <c r="X18" i="18"/>
  <c r="R18" i="18"/>
  <c r="AD42" i="18"/>
  <c r="R26" i="18"/>
  <c r="L18" i="18"/>
  <c r="AJ18" i="18"/>
  <c r="L34" i="18"/>
  <c r="R10" i="18"/>
  <c r="L10" i="18"/>
  <c r="X26" i="18"/>
  <c r="N39" i="1"/>
  <c r="R42" i="18"/>
  <c r="X10" i="18"/>
  <c r="X34" i="18"/>
  <c r="AD18" i="18"/>
  <c r="AD34" i="18"/>
  <c r="AD26" i="18"/>
  <c r="L26" i="18"/>
  <c r="AJ10" i="18"/>
  <c r="AJ34" i="18"/>
  <c r="M39" i="1"/>
  <c r="R34" i="18"/>
  <c r="AJ42" i="18"/>
  <c r="AL38" i="18"/>
  <c r="T38" i="18"/>
  <c r="AL14" i="18"/>
  <c r="Z14" i="18"/>
  <c r="AF22" i="18"/>
  <c r="AF6" i="18"/>
  <c r="N38" i="18"/>
  <c r="AL22" i="18"/>
  <c r="Z30" i="18"/>
  <c r="AF30" i="18"/>
  <c r="T30" i="18"/>
  <c r="AL6" i="18"/>
  <c r="Z38" i="18"/>
  <c r="Z6" i="18"/>
  <c r="AF14" i="18"/>
  <c r="N30" i="18"/>
  <c r="T14" i="18"/>
  <c r="N14" i="18"/>
  <c r="T22" i="18"/>
  <c r="N22" i="18"/>
  <c r="N6" i="18"/>
  <c r="AF38" i="18"/>
  <c r="AL30" i="18"/>
  <c r="T6" i="18"/>
  <c r="Z22" i="18"/>
  <c r="AB40" i="18"/>
  <c r="AB24" i="18"/>
  <c r="J24" i="18"/>
  <c r="P32" i="18"/>
  <c r="P24" i="18"/>
  <c r="AB8" i="18"/>
  <c r="AB16" i="18"/>
  <c r="P40" i="18"/>
  <c r="AH24" i="18"/>
  <c r="V32" i="18"/>
  <c r="AB32" i="18"/>
  <c r="V8" i="18"/>
  <c r="J32" i="18"/>
  <c r="AH16" i="18"/>
  <c r="V16" i="18"/>
  <c r="M15" i="1"/>
  <c r="V40" i="18"/>
  <c r="AH40" i="18"/>
  <c r="J40" i="18"/>
  <c r="AH32" i="18"/>
  <c r="J16" i="18"/>
  <c r="V24" i="18"/>
  <c r="N15" i="1"/>
  <c r="P16" i="18"/>
  <c r="AH8" i="18"/>
  <c r="J8" i="18"/>
  <c r="P8" i="18"/>
  <c r="N24" i="18"/>
  <c r="T16" i="18"/>
  <c r="AL16" i="18"/>
  <c r="T24" i="18"/>
  <c r="AL32" i="18"/>
  <c r="Z24" i="18"/>
  <c r="AL40" i="18"/>
  <c r="AF16" i="18"/>
  <c r="AF8" i="18"/>
  <c r="AF40" i="18"/>
  <c r="AL8" i="18"/>
  <c r="Z16" i="18"/>
  <c r="N32" i="18"/>
  <c r="N40" i="18"/>
  <c r="T8" i="18"/>
  <c r="N8" i="18"/>
  <c r="AF24" i="18"/>
  <c r="Z8" i="18"/>
  <c r="AF32" i="18"/>
  <c r="N16" i="18"/>
  <c r="T40" i="18"/>
  <c r="Z40" i="18"/>
  <c r="AL24" i="18"/>
  <c r="T32" i="18"/>
  <c r="Z32" i="18"/>
  <c r="R40" i="19" l="1"/>
  <c r="X40" i="19"/>
  <c r="R50" i="19"/>
  <c r="R30" i="19"/>
  <c r="L50" i="19"/>
  <c r="AJ40" i="19"/>
  <c r="R20" i="19"/>
  <c r="AJ30" i="19"/>
  <c r="X30" i="19"/>
  <c r="L40" i="19"/>
  <c r="X20" i="19"/>
  <c r="R10" i="19"/>
  <c r="L20" i="19"/>
  <c r="AD10" i="19"/>
  <c r="AJ10" i="19"/>
  <c r="X10" i="19"/>
  <c r="L10" i="19"/>
  <c r="AJ20" i="19"/>
  <c r="AD30" i="19"/>
  <c r="AD50" i="19"/>
  <c r="AJ50" i="19"/>
  <c r="AD20" i="19"/>
  <c r="X50" i="19"/>
  <c r="AD40" i="19"/>
  <c r="L30" i="19"/>
  <c r="AH25" i="19"/>
  <c r="AB15" i="19"/>
  <c r="P45" i="19"/>
  <c r="J35" i="19"/>
  <c r="J15" i="19"/>
  <c r="AH45" i="19"/>
  <c r="AB35" i="19"/>
  <c r="P25" i="19"/>
  <c r="AH15" i="19"/>
  <c r="J55" i="19"/>
  <c r="AB55" i="19"/>
  <c r="AB25" i="19"/>
  <c r="J45" i="19"/>
  <c r="P35" i="19"/>
  <c r="AH35" i="19"/>
  <c r="P55" i="19"/>
  <c r="V45" i="19"/>
  <c r="AB45" i="19"/>
  <c r="AH55" i="19"/>
  <c r="P15" i="19"/>
  <c r="V15" i="19"/>
  <c r="V25" i="19"/>
  <c r="J25" i="19"/>
  <c r="V35" i="19"/>
  <c r="V55" i="19"/>
  <c r="AB39" i="19" l="1"/>
  <c r="P19" i="19"/>
  <c r="P39" i="19"/>
  <c r="P29" i="19"/>
  <c r="J39" i="19"/>
  <c r="AH49" i="19"/>
  <c r="V49" i="19"/>
  <c r="AB29" i="19"/>
  <c r="AH39" i="19"/>
  <c r="P9" i="19"/>
  <c r="V19" i="19"/>
  <c r="AB9" i="19"/>
  <c r="AH19" i="19"/>
  <c r="V39" i="19"/>
  <c r="AH29" i="19"/>
  <c r="V9" i="19"/>
  <c r="AB19" i="19"/>
  <c r="AH9" i="19"/>
  <c r="J9" i="19"/>
  <c r="J29" i="19"/>
  <c r="J49" i="19"/>
  <c r="J19" i="19"/>
  <c r="V29" i="19"/>
  <c r="P49" i="19"/>
  <c r="AB49" i="19"/>
  <c r="AC40" i="19"/>
  <c r="AI40" i="19"/>
  <c r="W10" i="19"/>
  <c r="W40" i="19"/>
  <c r="AC50" i="19"/>
  <c r="K20" i="19"/>
  <c r="Q10" i="19"/>
  <c r="AC10" i="19"/>
  <c r="Q40" i="19"/>
  <c r="Q30" i="19"/>
  <c r="AI10" i="19"/>
  <c r="K50" i="19"/>
  <c r="W50" i="19"/>
  <c r="AC20" i="19"/>
  <c r="K40" i="19"/>
  <c r="AI30" i="19"/>
  <c r="W20" i="19"/>
  <c r="Q50" i="19"/>
  <c r="AC30" i="19"/>
  <c r="W30" i="19"/>
  <c r="Q20" i="19"/>
  <c r="AI50" i="19"/>
  <c r="AI20" i="19"/>
  <c r="K10" i="19"/>
  <c r="K30" i="19"/>
  <c r="J40" i="19"/>
  <c r="J10" i="19"/>
  <c r="V30" i="19"/>
  <c r="AB20" i="19"/>
  <c r="AH20" i="19"/>
  <c r="AH50" i="19"/>
  <c r="J30" i="19"/>
  <c r="V20" i="19"/>
  <c r="V10" i="19"/>
  <c r="AH10" i="19"/>
  <c r="P20" i="19"/>
  <c r="P10" i="19"/>
  <c r="J20" i="19"/>
  <c r="AB50" i="19"/>
  <c r="P40" i="19"/>
  <c r="J50" i="19"/>
  <c r="V40" i="19"/>
  <c r="AB40" i="19"/>
  <c r="AB30" i="19"/>
  <c r="AB10" i="19"/>
  <c r="P30" i="19"/>
  <c r="V50" i="19"/>
  <c r="P50" i="19"/>
  <c r="AH40" i="19"/>
  <c r="AH30" i="19"/>
  <c r="AH51" i="19"/>
  <c r="AH41" i="19"/>
  <c r="AH11" i="19"/>
  <c r="P41" i="19"/>
  <c r="J41" i="19"/>
  <c r="J21" i="19"/>
  <c r="P11" i="19"/>
  <c r="AH31" i="19"/>
  <c r="J51" i="19"/>
  <c r="AB31" i="19"/>
  <c r="AB41" i="19"/>
  <c r="AB51" i="19"/>
  <c r="P31" i="19"/>
  <c r="P21" i="19"/>
  <c r="V41" i="19"/>
  <c r="V31" i="19"/>
  <c r="AH21" i="19"/>
  <c r="J11" i="19"/>
  <c r="AB11" i="19"/>
  <c r="V11" i="19"/>
  <c r="P51" i="19"/>
  <c r="AB21" i="19"/>
  <c r="V21" i="19"/>
  <c r="J31" i="19"/>
  <c r="V51" i="19"/>
  <c r="W28" i="19"/>
  <c r="W18" i="19"/>
  <c r="K48" i="19"/>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H38" i="19"/>
  <c r="J18" i="19"/>
  <c r="J48" i="19"/>
  <c r="V8" i="19"/>
  <c r="J38" i="19"/>
  <c r="P28" i="19"/>
  <c r="P8" i="19"/>
  <c r="AH28" i="19"/>
  <c r="AB28" i="19"/>
  <c r="AB48" i="19"/>
  <c r="V38" i="19"/>
  <c r="P48" i="19"/>
  <c r="AH48" i="19"/>
  <c r="AB8" i="19"/>
  <c r="V48" i="19"/>
  <c r="V28" i="19"/>
  <c r="AB38" i="19"/>
  <c r="AB18" i="19"/>
  <c r="AH8" i="19"/>
  <c r="AH18" i="19"/>
  <c r="V18" i="19"/>
  <c r="P18" i="19"/>
  <c r="P38" i="19"/>
  <c r="J8" i="19"/>
  <c r="J28" i="19"/>
  <c r="AC38" i="19" l="1"/>
  <c r="AI8" i="19"/>
  <c r="K28" i="19"/>
  <c r="Q8" i="19"/>
  <c r="AC18" i="19"/>
  <c r="W48" i="19"/>
  <c r="K18" i="19"/>
  <c r="Q48" i="19"/>
  <c r="Q18" i="19"/>
  <c r="AI18" i="19"/>
  <c r="K8" i="19"/>
  <c r="AC8" i="19"/>
  <c r="AI38" i="19"/>
  <c r="Q38" i="19"/>
  <c r="AC28" i="19"/>
  <c r="AI28" i="19"/>
  <c r="W38" i="19"/>
  <c r="K38" i="19"/>
  <c r="AI48" i="19"/>
  <c r="W8" i="19"/>
  <c r="AC48" i="19"/>
  <c r="Q28" i="19"/>
  <c r="AI41" i="19"/>
  <c r="K51" i="19"/>
  <c r="W11" i="19"/>
  <c r="K21" i="19"/>
  <c r="Q51" i="19"/>
  <c r="AI31" i="19"/>
  <c r="W21" i="19"/>
  <c r="Q41" i="19"/>
  <c r="AC11" i="19"/>
  <c r="K11" i="19"/>
  <c r="AI51" i="19"/>
  <c r="AC31" i="19"/>
  <c r="W41" i="19"/>
  <c r="AC51" i="19"/>
  <c r="K41" i="19"/>
  <c r="W31" i="19"/>
  <c r="AI11" i="19"/>
  <c r="Q11" i="19"/>
  <c r="AC41" i="19"/>
  <c r="AI21" i="19"/>
  <c r="AC21" i="19"/>
  <c r="Q31" i="19"/>
  <c r="K31" i="19"/>
  <c r="W51" i="19"/>
  <c r="Q21" i="19"/>
  <c r="S28" i="19" l="1"/>
  <c r="Y38" i="19"/>
  <c r="S8" i="19"/>
  <c r="S18" i="19"/>
  <c r="Y28" i="19"/>
  <c r="Y18" i="19"/>
  <c r="Y48" i="19"/>
  <c r="M8" i="19"/>
  <c r="AK48" i="19"/>
  <c r="AK18" i="19"/>
  <c r="AK28" i="19"/>
  <c r="M48" i="19"/>
  <c r="Y8" i="19"/>
  <c r="AE28" i="19"/>
  <c r="M28" i="19"/>
  <c r="AK38" i="19"/>
  <c r="M38" i="19"/>
  <c r="AE18" i="19"/>
  <c r="AE48" i="19"/>
  <c r="AK8" i="19"/>
  <c r="S48" i="19"/>
  <c r="AE8" i="19"/>
  <c r="AE38" i="19"/>
  <c r="M18" i="19"/>
  <c r="S38" i="19"/>
  <c r="AJ8" i="19"/>
  <c r="R48" i="19"/>
  <c r="R8" i="19"/>
  <c r="AD28" i="19"/>
  <c r="L48" i="19"/>
  <c r="AJ28" i="19"/>
  <c r="AD8" i="19"/>
  <c r="X48" i="19"/>
  <c r="L38" i="19"/>
  <c r="X8" i="19"/>
  <c r="AJ48" i="19"/>
  <c r="R28" i="19"/>
  <c r="R18" i="19"/>
  <c r="X28" i="19"/>
  <c r="AJ18" i="19"/>
  <c r="AD18" i="19"/>
  <c r="AD38" i="19"/>
  <c r="L28" i="19"/>
  <c r="X38" i="19"/>
  <c r="L18" i="19"/>
  <c r="L8" i="19"/>
  <c r="R38" i="19"/>
  <c r="AJ38" i="19"/>
  <c r="AD48" i="19"/>
  <c r="X18" i="19"/>
  <c r="AD11" i="19"/>
  <c r="AD21" i="19"/>
  <c r="L21" i="19"/>
  <c r="L51" i="19"/>
  <c r="L11" i="19"/>
  <c r="X51" i="19"/>
  <c r="X21" i="19"/>
  <c r="R11" i="19"/>
  <c r="AJ21" i="19"/>
  <c r="AD51" i="19"/>
  <c r="L41" i="19"/>
  <c r="R31" i="19"/>
  <c r="AJ41" i="19"/>
  <c r="L31" i="19"/>
  <c r="R41" i="19"/>
  <c r="AD31" i="19"/>
  <c r="R51" i="19"/>
  <c r="R21" i="19"/>
  <c r="X31" i="19"/>
  <c r="AD41" i="19"/>
  <c r="X11" i="19"/>
  <c r="AJ11" i="19"/>
  <c r="X41" i="19"/>
  <c r="AJ51" i="19"/>
  <c r="AJ31" i="19"/>
  <c r="Z31" i="19" l="1"/>
  <c r="T41" i="19"/>
  <c r="N21" i="19"/>
  <c r="AF41" i="19"/>
  <c r="N31" i="19"/>
  <c r="AL11" i="19"/>
  <c r="T31" i="19"/>
  <c r="T11" i="19"/>
  <c r="AF11" i="19"/>
  <c r="T21" i="19"/>
  <c r="AL41" i="19"/>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M11" i="19"/>
  <c r="S31" i="19"/>
  <c r="AK11" i="19"/>
  <c r="M51" i="19"/>
  <c r="Y31" i="19"/>
  <c r="Y51" i="19"/>
  <c r="S21"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<sst xmlns="http://schemas.openxmlformats.org/spreadsheetml/2006/main" count="512" uniqueCount="266">
  <si>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</si>
  <si>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</si>
  <si>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</si>
  <si>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</si>
  <si>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</si>
  <si>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</si>
  <si>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</si>
  <si>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</si>
  <si>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</si>
  <si>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</si>
  <si>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</si>
  <si>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</si>
  <si>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</si>
  <si>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</si>
  <si>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</si>
  <si>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</si>
  <si>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</si>
  <si>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</si>
  <si>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</si>
  <si>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</si>
  <si>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</si>
  <si>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</si>
  <si>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</si>
  <si>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</si>
  <si>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</si>
  <si>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</si>
  <si>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</si>
  <si>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</si>
  <si>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</si>
  <si>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</si>
  <si>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</si>
  <si>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</si>
  <si>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</si>
  <si>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</si>
  <si>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</si>
  <si>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</si>
  <si>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</si>
  <si>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</si>
  <si>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</si>
  <si>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</si>
  <si>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</si>
  <si>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</si>
  <si>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</si>
  <si>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</si>
  <si>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</si>
  <si>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</si>
  <si>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</si>
  <si>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</si>
  <si>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</si>
  <si>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</si>
  <si>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</si>
  <si>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</si>
  <si>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</si>
  <si>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</si>
  <si>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</si>
  <si>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</si>
  <si>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</si>
  <si>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</si>
  <si>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</si>
  <si>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</si>
  <si>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</si>
  <si>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</si>
  <si>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</si>
  <si>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</si>
  <si>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</si>
  <si>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</si>
  <si>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</si>
  <si>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</si>
  <si>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</si>
  <si>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</si>
  <si>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</si>
  <si>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</si>
  <si>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</si>
  <si>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</si>
  <si>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</si>
  <si>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</si>
  <si>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</si>
  <si>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</si>
  <si>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</si>
  <si>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</si>
  <si>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</si>
  <si>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</si>
  <si>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</si>
  <si>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</si>
  <si>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</si>
  <si>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</si>
  <si>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</si>
  <si>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</si>
  <si>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</si>
  <si>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</si>
  <si>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</si>
  <si>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</si>
  <si>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</si>
  <si>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</si>
  <si>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</si>
  <si>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</si>
  <si>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</si>
  <si>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</si>
  <si>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</si>
  <si>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</si>
  <si>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</si>
  <si>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</si>
  <si>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</si>
  <si>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</si>
  <si>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</si>
  <si>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</si>
  <si>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</si>
  <si>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</si>
  <si>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</si>
  <si>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</si>
  <si>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</si>
  <si>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</si>
  <si>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</si>
  <si>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</si>
  <si>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</si>
  <si>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</si>
  <si>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</si>
  <si>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</si>
  <si>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</si>
  <si>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</si>
  <si>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</si>
  <si>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</si>
  <si>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</si>
  <si>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</si>
  <si>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</si>
  <si>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</si>
  <si>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</si>
  <si>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</si>
  <si>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</si>
  <si>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</si>
  <si>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</si>
  <si>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</si>
  <si>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</si>
  <si>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</si>
  <si>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</si>
  <si>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</si>
  <si>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</si>
  <si>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</si>
  <si>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</si>
  <si>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</si>
  <si>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</si>
  <si>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</si>
  <si>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</si>
  <si>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</si>
  <si>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</si>
  <si>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</si>
  <si>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</si>
  <si>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</si>
  <si>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</si>
  <si>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</si>
  <si>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</si>
  <si>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</si>
  <si>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</si>
  <si>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</si>
  <si>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</si>
  <si>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</si>
  <si>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</si>
  <si>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</si>
  <si>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</si>
  <si>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</si>
  <si>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</si>
  <si>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</si>
  <si>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</si>
  <si>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</si>
  <si>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</si>
  <si>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</si>
  <si>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</si>
  <si>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</si>
  <si>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</si>
  <si>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</si>
  <si>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</si>
  <si>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</si>
  <si>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</si>
  <si>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</si>
  <si>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</si>
  <si>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</si>
  <si>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</si>
  <si>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</si>
  <si>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</si>
  <si>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</si>
  <si>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</si>
  <si>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</si>
  <si>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</si>
  <si>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</si>
  <si>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</si>
  <si>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</si>
  <si>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</si>
  <si>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</si>
  <si>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</si>
  <si>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</si>
  <si>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</si>
  <si>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</si>
  <si>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</si>
  <si>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</si>
  <si>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</si>
  <si>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</si>
  <si>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</si>
  <si>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</si>
  <si>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</si>
  <si>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</si>
  <si>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</si>
  <si>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</si>
  <si>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</si>
  <si>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</si>
  <si>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</si>
  <si>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</si>
  <si>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</si>
  <si>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</si>
  <si>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</si>
  <si>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</si>
  <si>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</si>
  <si>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</si>
  <si>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</si>
  <si>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</si>
  <si>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Con registro</t>
  </si>
  <si>
    <t xml:space="preserve"> Imposición de multas, sanciones e intereses moratorios de los entes de control</t>
  </si>
  <si>
    <t xml:space="preserve">Inoportunidad en la presentación y pago de los impuestos municipales y nacionales </t>
  </si>
  <si>
    <t xml:space="preserve">Posibilidad de afectación económica por la imposición de multas, sanciones e intereses moratorios de los entes de control debido a la inoportunidad en la presentación y pago de los impuestos municipales y nacionales </t>
  </si>
  <si>
    <t xml:space="preserve">El profesional univerrsitario contador del área Administrativa y Financiera descarga los calendarios tributarios municipal y nacional en aras de realizar el pago de impuestos dentro de los términos legales vigentes </t>
  </si>
  <si>
    <t xml:space="preserve">El profesional univerrsitario contador del área Administrativa y Financiera proyecta un borrador de los impuestos con los respectivos anexos y los envía a la Revisoría Fiscal para que sean verificados, aprobados y firmados, para proceder a su rendición </t>
  </si>
  <si>
    <t xml:space="preserve"> Imposición de multas y/o sanciones</t>
  </si>
  <si>
    <t xml:space="preserve">Incumplimiento de los términos perentorios de los informes exigidos por los entes de control (SIA, CHIP, Exógena, Renta) </t>
  </si>
  <si>
    <t xml:space="preserve">Posibilidad de afectación económica por la imposición de multas y/o sanciones debido al incumplimiento de los términos perentorios de los informes exigidos por los entes de control (SIA, CHIP, Exógena, Renta) </t>
  </si>
  <si>
    <t xml:space="preserve">El Profesional Universitario Contador de la entidad establece un calendario de presentación de informes de acuerdo a los términos que establezca la Contaduría General de la Nación, la Contraloría, la DIAN, y el Municipio con el fin de garantizar el cumplimiento de los términos </t>
  </si>
  <si>
    <t xml:space="preserve">El Profesional Universitario Contador de la entidad inicia el prediligenciamiento de los informes con anticipación para verificar la información con los impuestos y los estados financieros y finalmente proceder a rendirlos </t>
  </si>
  <si>
    <t>Levantamiento de hallazgos de los entes de control</t>
  </si>
  <si>
    <t xml:space="preserve"> Registro erróneo de hechos económicos en los estados financieros</t>
  </si>
  <si>
    <t>Posibilidad de afectación reputacional por el levantamiento de hallazgos de los entes de control, derivados del registro erróneo de hechos económicos en los estados financieros</t>
  </si>
  <si>
    <t xml:space="preserve">El Profesional Universitario Contador realiza una validación de la información consignada en los libros auxiliares (bancos, cuentas por pagar, cuentas por cobrar, inversiones e inventarios) de manera mensual para garantizar que estos se encuentran ajustados a los hechos económicos presentados durante el mes </t>
  </si>
  <si>
    <t xml:space="preserve">El Profesional Universitario Contador de la entidad diligencia los estados financieros, transcribiendo la información de los libros auxiliares a las plantillas correspondientes y con los respectivos anexos los envía a validación de la Revisoría Fiscal </t>
  </si>
  <si>
    <t xml:space="preserve">La Revisoría Fiscal valida la información entregada por el Profesional Universitario Contador de la entidad, para garantizar que la información consignada en los estados financieros coincide con los libros auxiliares de la contabilidad </t>
  </si>
  <si>
    <t>Investigaciones de los entes de control</t>
  </si>
  <si>
    <t xml:space="preserve">Inexactitud entre los libros y los extractos bancarios </t>
  </si>
  <si>
    <t xml:space="preserve">Posibilidad de afectación reputacional por posibles investigaciones de los entes de control debido a la inexactitud entre los libros auxiliares de la contabilidad y los extractos bancarios </t>
  </si>
  <si>
    <t xml:space="preserve">El Profesional Universitario Contador de la entidad realiza la verificación de los ingresos en las plataformas de pago (banco y pse) en aras de identificar los conceptos </t>
  </si>
  <si>
    <t xml:space="preserve">El Profesional Universitario Contador realiza una validación de los ingresos versus la facturación emitida por la entidad, para lo cual se apoya en las áreas correspondientes (Mercadeo con arrendamientos de locales comerciales, Teatro Fundadores y Administración de Expoferias) </t>
  </si>
  <si>
    <t>El Profesional Universitario Contador realiza durante los primeros días del mes siguiente, la descarga de los extractos banrarios para realizar la conciliación correspondiente</t>
  </si>
  <si>
    <t>Imposición de multas, sanciones y/o hallazgos de los entes de control</t>
  </si>
  <si>
    <t xml:space="preserve">Inexistencia o desactualización de políticas contables </t>
  </si>
  <si>
    <t xml:space="preserve">Posibilidad de afectación económica y reputacional por la imposición de multas, sanciones y/o hallazgos de los entes de control, derivadas de la inexistencia o desactualización de políticas contables </t>
  </si>
  <si>
    <t>Realizar actualización anual del Manual de politicas contables con la aprobación de la Junta Directiva</t>
  </si>
  <si>
    <t>Mala toma de decisiones estratégicas, gerenciales y/o financieras</t>
  </si>
  <si>
    <t xml:space="preserve"> Generación de estados financieros no razonables </t>
  </si>
  <si>
    <t xml:space="preserve">Posbilidad de afeción económica y/o reputacional por la mala toma de decisiones estratégicas, gerenciales y/o financieras, derivadas de la generación de estados financieros no razonables </t>
  </si>
  <si>
    <t>Exceso o defecto en la gestión de recursos</t>
  </si>
  <si>
    <t xml:space="preserve">Deficiencias en la identificación de las cuentas por pagar y cuentas por cobrar de la entidad </t>
  </si>
  <si>
    <t xml:space="preserve">Posibilidad de afectación económica o reputacional por el exceso o defecto en la gestión de recursos (ingresos o pagos) derivado de las deficiencias en la identificación de las cuentas por pagar y cuentas por cobrar de la entidad </t>
  </si>
  <si>
    <t xml:space="preserve">El Profesional Universitario Contador realiza periódicamente identificación y depuración de las cuentas por cobrar de la entidad, para realizar las gestiones necesarias </t>
  </si>
  <si>
    <t xml:space="preserve">El Profesional Universitario Contador emplea estrategias de circularización a los terceros identificados, en aras de realizar cobro persuasivo para recaudar la cartera y/o dar de baja a las cuentas prescritas o caducas. </t>
  </si>
  <si>
    <t xml:space="preserve">El Profesional Universitario Contador presenta para aprobación del Comité de Sostenibilidad Contable la cartera y/o cuentas por cobrar a dar de baja en el sistema </t>
  </si>
  <si>
    <t xml:space="preserve">El Profesional Universitario Contador realiza periódicamente identificación y depuración de las cuentas por pagar de la entidad, para realizar las gestiones necesarias </t>
  </si>
  <si>
    <t xml:space="preserve">El Profesional Universtario Contador genera notas contables con información de calidad, enmarcadas en las normas vigentes y las politicas contables aplicables a la entidad </t>
  </si>
  <si>
    <t>Inexactitud en el valor de la utilidad</t>
  </si>
  <si>
    <t xml:space="preserve">Generación de estados financieros no confiables que no contemplen la depreciación de los bienes, muebles y enseres </t>
  </si>
  <si>
    <t xml:space="preserve">Posibilidad de afectación económica por la inexactitud en el valor de la utilidad, debido a la generación de estados financieros no confiables que no contemplen la depreciación de los bienes, muebles y enseres </t>
  </si>
  <si>
    <t xml:space="preserve">El apoyo de la Oficina Administrativa y Financiera realiza actualización dos veces al año del inventario de bienes muebles de la entidad y envía el reporte al Profesional Universitario Contador para realizar la actualización respectiva en el sistema financiero y contable </t>
  </si>
  <si>
    <t>El Profesional Universitario Contador realiza de manera mensual la depreciación de los bienes muebles y enseres en el sistema financiero y contable de la entidad</t>
  </si>
  <si>
    <t xml:space="preserve">El Revisor Fiscal de la entidad realiza la verificación de la depreciación de bienes, muebles y enseres cuando revisa y valida los estados financieros presentados para aprobación por el Profesional Universitario Contador </t>
  </si>
  <si>
    <t xml:space="preserve">Detrimento patrimonial </t>
  </si>
  <si>
    <t xml:space="preserve">Asignación de compromisos sin tener la fuente asegurada </t>
  </si>
  <si>
    <t xml:space="preserve">Posibilidad de afectación económica por el detrimento patrimonial causado por la asignación de compromisos sin tener la fuente asegurada </t>
  </si>
  <si>
    <t>GESTIÓN FINANCIERA</t>
  </si>
  <si>
    <t>Optimizar y procesar de manera correcta los recursos y hechos económicos de la Promotora de Eventos, garantizando el acceso a la información y velando por la sostenibilidad de las finanzas.</t>
  </si>
  <si>
    <t xml:space="preserve">Comprende el ciclo completo de la Ejecución Presupuestal, las operaciones de la Contabilidad y los servicios financieros reglamentarios para dar cumplimiento al Régimen de Contabilidad Pública </t>
  </si>
  <si>
    <t>El  jefe de la oficina Adminsitrativa y financiera  asigna certificados de disponibilidad presupuestal y compromisos presupuestales una vez se suscriban los convenios y/o contratos o se asignen recursos en el rubro correspondiente</t>
  </si>
  <si>
    <t xml:space="preserve">El jefe oficina adminsitrativa y  financiera a través de los informes presupuestales, analiza el equilibrio presupuestal  de la entidad a través de los recaudos vs compromisos y el recaudo vs las obligaciones adquiridas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</si>
</sst>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b/>
      <sz val="11"/>
      <color theme="1"/>
      <name val="Arial"/>
      <family val="2"/>
    </font>
    <font>
      <sz val="11"/>
      <color theme="1"/>
      <name val="Arial"/>
      <family val="2"/>
    </font>
    <font>
      <sz val="12"/>
      <color theme="1"/>
      <name val="Arial"/>
      <family val="2"/>
    </font>
    <font>
      <sz val="11"/>
      <name val="Calibri"/>
      <family val="2"/>
    </font>
    <font>
      <sz val="11"/>
      <color theme="1"/>
      <name val="Arial Narrow"/>
      <family val="2"/>
    </font>
  </fonts>
  <fills count="1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theme="0"/>
      </patternFill>
    </fill>
  </fills>
  <borders count="80">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83">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55" fillId="0" borderId="18" xfId="0" applyFont="1" applyBorder="1" applyAlignment="1">
      <alignment horizontal="center" vertical="center"/>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lignment horizontal="center" vertical="center"/>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5" fillId="0" borderId="72" xfId="0" applyFont="1" applyBorder="1" applyAlignment="1">
      <alignment horizontal="left" vertical="center" wrapText="1"/>
    </xf>
    <xf numFmtId="0" fontId="55" fillId="0" borderId="0" xfId="0" applyFont="1" applyAlignment="1">
      <alignment wrapText="1"/>
    </xf>
    <xf numFmtId="0" fontId="44" fillId="0" borderId="18" xfId="0" applyFont="1" applyBorder="1" applyAlignment="1">
      <alignment horizontal="center" vertical="center" wrapText="1"/>
    </xf>
    <xf numFmtId="0" fontId="62" fillId="0" borderId="79" xfId="0" applyFont="1" applyBorder="1" applyAlignment="1" applyProtection="1">
      <alignment horizontal="center" vertical="center" textRotation="90"/>
      <protection locked="0"/>
    </xf>
    <xf numFmtId="164" fontId="62"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62"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62" fillId="0" borderId="18" xfId="0" applyFont="1" applyBorder="1" applyAlignment="1" applyProtection="1">
      <alignment horizontal="center" vertical="center" textRotation="90"/>
      <protection locked="0"/>
    </xf>
    <xf numFmtId="0" fontId="44" fillId="0" borderId="18" xfId="0" applyFont="1" applyBorder="1" applyAlignment="1">
      <alignment horizontal="left" vertical="center" wrapText="1"/>
    </xf>
    <xf numFmtId="0" fontId="55" fillId="0" borderId="76" xfId="0" applyFont="1" applyBorder="1" applyAlignment="1">
      <alignment horizontal="left" vertical="center" wrapText="1"/>
    </xf>
    <xf numFmtId="0" fontId="62" fillId="0" borderId="18" xfId="0" applyFont="1" applyBorder="1" applyAlignment="1" applyProtection="1">
      <alignment horizontal="center" vertical="center"/>
      <protection hidden="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locked="0"/>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6" fillId="17" borderId="18" xfId="0" applyFont="1" applyFill="1" applyBorder="1" applyAlignment="1">
      <alignment horizontal="center" vertical="center" textRotation="90" wrapText="1"/>
    </xf>
    <xf numFmtId="0" fontId="55" fillId="0" borderId="18" xfId="0" applyFont="1" applyBorder="1" applyAlignment="1">
      <alignment horizontal="center" vertical="center"/>
    </xf>
    <xf numFmtId="0" fontId="55" fillId="0" borderId="18" xfId="0" applyFont="1" applyBorder="1" applyAlignment="1" applyProtection="1">
      <alignment horizontal="center" vertical="center" wrapText="1"/>
      <protection locked="0"/>
    </xf>
    <xf numFmtId="0" fontId="55" fillId="0" borderId="69" xfId="0" applyFont="1" applyBorder="1" applyAlignment="1">
      <alignment horizontal="center" vertical="center" wrapText="1"/>
    </xf>
    <xf numFmtId="0" fontId="61" fillId="0" borderId="70" xfId="0" applyFont="1" applyBorder="1"/>
    <xf numFmtId="0" fontId="61" fillId="0" borderId="71" xfId="0" applyFont="1" applyBorder="1"/>
    <xf numFmtId="0" fontId="55" fillId="0" borderId="70" xfId="0" applyFont="1" applyBorder="1" applyAlignment="1">
      <alignment horizontal="center" vertical="center" wrapText="1"/>
    </xf>
    <xf numFmtId="0" fontId="55" fillId="0" borderId="71" xfId="0" applyFont="1" applyBorder="1" applyAlignment="1">
      <alignment horizontal="center" vertical="center" wrapText="1"/>
    </xf>
    <xf numFmtId="0" fontId="55" fillId="0" borderId="18" xfId="0" applyFont="1" applyBorder="1" applyAlignment="1" applyProtection="1">
      <alignment horizontal="center" vertical="center"/>
      <protection locked="0"/>
    </xf>
    <xf numFmtId="0" fontId="56" fillId="0" borderId="18" xfId="0" applyFont="1" applyFill="1" applyBorder="1" applyAlignment="1">
      <alignment horizontal="center" vertical="center"/>
    </xf>
    <xf numFmtId="0" fontId="58" fillId="0" borderId="18" xfId="0" applyFont="1" applyFill="1" applyBorder="1" applyAlignment="1">
      <alignment horizontal="center" vertical="center" wrapText="1"/>
    </xf>
    <xf numFmtId="0" fontId="58"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0" fillId="3" borderId="18" xfId="0" applyFont="1" applyFill="1" applyBorder="1" applyAlignment="1" applyProtection="1">
      <alignment horizontal="left" vertical="center" wrapText="1"/>
      <protection locked="0"/>
    </xf>
    <xf numFmtId="0" fontId="59" fillId="18" borderId="76" xfId="0" applyFont="1" applyFill="1" applyBorder="1" applyAlignment="1">
      <alignment horizontal="left" vertical="center" wrapText="1"/>
    </xf>
    <xf numFmtId="0" fontId="61" fillId="0" borderId="77" xfId="0" applyFont="1" applyBorder="1"/>
    <xf numFmtId="0" fontId="61" fillId="0" borderId="78" xfId="0" applyFont="1" applyBorder="1"/>
    <xf numFmtId="0" fontId="59" fillId="18" borderId="76" xfId="0" applyFont="1" applyFill="1" applyBorder="1" applyAlignment="1">
      <alignment vertical="center" wrapText="1"/>
    </xf>
    <xf numFmtId="0" fontId="59" fillId="18" borderId="77" xfId="0" applyFont="1" applyFill="1" applyBorder="1" applyAlignment="1">
      <alignment vertical="center" wrapText="1"/>
    </xf>
    <xf numFmtId="0" fontId="59" fillId="18" borderId="78" xfId="0" applyFont="1" applyFill="1" applyBorder="1" applyAlignment="1">
      <alignment vertical="center" wrapText="1"/>
    </xf>
    <xf numFmtId="0" fontId="56" fillId="16" borderId="18" xfId="0" applyFont="1" applyFill="1" applyBorder="1" applyAlignment="1">
      <alignment horizontal="center" vertical="center"/>
    </xf>
    <xf numFmtId="0" fontId="55" fillId="0" borderId="75" xfId="0" applyFont="1" applyBorder="1" applyAlignment="1">
      <alignment horizontal="center" vertical="center"/>
    </xf>
    <xf numFmtId="0" fontId="55" fillId="0" borderId="74" xfId="0" applyFont="1" applyBorder="1" applyAlignment="1">
      <alignment horizontal="center" vertical="center"/>
    </xf>
    <xf numFmtId="0" fontId="55" fillId="0" borderId="19" xfId="0" applyFont="1" applyBorder="1" applyAlignment="1">
      <alignment horizontal="center" vertical="center"/>
    </xf>
    <xf numFmtId="0" fontId="55" fillId="0" borderId="75" xfId="0" applyFont="1" applyBorder="1" applyAlignment="1" applyProtection="1">
      <alignment horizontal="center" vertical="center" wrapText="1"/>
      <protection locked="0"/>
    </xf>
    <xf numFmtId="0" fontId="55" fillId="0" borderId="74" xfId="0" applyFont="1" applyBorder="1" applyAlignment="1" applyProtection="1">
      <alignment horizontal="center" vertical="center" wrapText="1"/>
      <protection locked="0"/>
    </xf>
    <xf numFmtId="0" fontId="55" fillId="0" borderId="19" xfId="0" applyFont="1" applyBorder="1" applyAlignment="1" applyProtection="1">
      <alignment horizontal="center" vertical="center" wrapText="1"/>
      <protection locked="0"/>
    </xf>
    <xf numFmtId="0" fontId="55" fillId="0" borderId="73" xfId="0" applyFont="1" applyBorder="1" applyAlignment="1" applyProtection="1">
      <alignment horizontal="center" vertical="center" wrapText="1"/>
      <protection locked="0"/>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19" xfId="0" applyFont="1" applyBorder="1" applyAlignment="1" applyProtection="1">
      <alignment horizontal="center" vertical="center" wrapText="1"/>
      <protection locked="0"/>
    </xf>
    <xf numFmtId="0" fontId="55" fillId="0" borderId="75" xfId="0" applyFont="1" applyBorder="1" applyAlignment="1" applyProtection="1">
      <alignment horizontal="center" vertical="center"/>
      <protection locked="0"/>
    </xf>
    <xf numFmtId="0" fontId="55" fillId="0" borderId="74" xfId="0" applyFont="1" applyBorder="1" applyAlignment="1" applyProtection="1">
      <alignment horizontal="center" vertical="center"/>
      <protection locked="0"/>
    </xf>
    <xf numFmtId="0" fontId="55" fillId="0" borderId="19" xfId="0" applyFont="1" applyBorder="1" applyAlignment="1" applyProtection="1">
      <alignment horizontal="center" vertical="center"/>
      <protection locked="0"/>
    </xf>
    <xf numFmtId="0" fontId="23" fillId="0" borderId="0" xfId="0" applyFont="1" applyAlignment="1">
      <alignment horizontal="center" vertical="center" wrapText="1"/>
    </xf>
    <xf numFmtId="0" fontId="18" fillId="5" borderId="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4" xfId="0" applyFont="1" applyBorder="1" applyAlignment="1">
      <alignment horizontal="center" vertical="center" wrapText="1"/>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44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1357586</xdr:colOff>
      <xdr:row>62</xdr:row>
      <xdr:rowOff>171450</xdr:rowOff>
    </xdr:from>
    <xdr:to>
      <xdr:col>22</xdr:col>
      <xdr:colOff>95794</xdr:colOff>
      <xdr:row>62</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50345" y="30673347"/>
          <a:ext cx="9423725"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apa-de-Riesgos-Proceso-Gestion-Financiera.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apa-de-Riesgos-Proceso-Gestion-Administr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Valoración controle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Valoración controles"/>
    </sheetNames>
    <sheetDataSet>
      <sheetData sheetId="0" refreshError="1"/>
      <sheetData sheetId="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5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4" zoomScale="110" zoomScaleNormal="110" workbookViewId="0">
      <selection activeCell="E35" sqref="E35:F3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53" t="s">
        <v>158</v>
      </c>
      <c r="C2" s="154"/>
      <c r="D2" s="154"/>
      <c r="E2" s="154"/>
      <c r="F2" s="154"/>
      <c r="G2" s="154"/>
      <c r="H2" s="155"/>
    </row>
    <row r="3" spans="2:8" x14ac:dyDescent="0.25">
      <c r="B3" s="50"/>
      <c r="C3" s="51"/>
      <c r="D3" s="51"/>
      <c r="E3" s="51"/>
      <c r="F3" s="51"/>
      <c r="G3" s="51"/>
      <c r="H3" s="52"/>
    </row>
    <row r="4" spans="2:8" ht="63" customHeight="1" x14ac:dyDescent="0.25">
      <c r="B4" s="156" t="s">
        <v>201</v>
      </c>
      <c r="C4" s="157"/>
      <c r="D4" s="157"/>
      <c r="E4" s="157"/>
      <c r="F4" s="157"/>
      <c r="G4" s="157"/>
      <c r="H4" s="158"/>
    </row>
    <row r="5" spans="2:8" ht="63" customHeight="1" x14ac:dyDescent="0.25">
      <c r="B5" s="159"/>
      <c r="C5" s="160"/>
      <c r="D5" s="160"/>
      <c r="E5" s="160"/>
      <c r="F5" s="160"/>
      <c r="G5" s="160"/>
      <c r="H5" s="161"/>
    </row>
    <row r="6" spans="2:8" ht="16.5" x14ac:dyDescent="0.25">
      <c r="B6" s="162" t="s">
        <v>156</v>
      </c>
      <c r="C6" s="163"/>
      <c r="D6" s="163"/>
      <c r="E6" s="163"/>
      <c r="F6" s="163"/>
      <c r="G6" s="163"/>
      <c r="H6" s="164"/>
    </row>
    <row r="7" spans="2:8" ht="95.25" customHeight="1" x14ac:dyDescent="0.25">
      <c r="B7" s="172" t="s">
        <v>161</v>
      </c>
      <c r="C7" s="173"/>
      <c r="D7" s="173"/>
      <c r="E7" s="173"/>
      <c r="F7" s="173"/>
      <c r="G7" s="173"/>
      <c r="H7" s="174"/>
    </row>
    <row r="8" spans="2:8" ht="16.5" x14ac:dyDescent="0.25">
      <c r="B8" s="86"/>
      <c r="C8" s="87"/>
      <c r="D8" s="87"/>
      <c r="E8" s="87"/>
      <c r="F8" s="87"/>
      <c r="G8" s="87"/>
      <c r="H8" s="88"/>
    </row>
    <row r="9" spans="2:8" ht="16.5" customHeight="1" x14ac:dyDescent="0.25">
      <c r="B9" s="165" t="s">
        <v>194</v>
      </c>
      <c r="C9" s="166"/>
      <c r="D9" s="166"/>
      <c r="E9" s="166"/>
      <c r="F9" s="166"/>
      <c r="G9" s="166"/>
      <c r="H9" s="167"/>
    </row>
    <row r="10" spans="2:8" ht="44.25" customHeight="1" x14ac:dyDescent="0.25">
      <c r="B10" s="165"/>
      <c r="C10" s="166"/>
      <c r="D10" s="166"/>
      <c r="E10" s="166"/>
      <c r="F10" s="166"/>
      <c r="G10" s="166"/>
      <c r="H10" s="167"/>
    </row>
    <row r="11" spans="2:8" ht="15.75" thickBot="1" x14ac:dyDescent="0.3">
      <c r="B11" s="75"/>
      <c r="C11" s="78"/>
      <c r="D11" s="83"/>
      <c r="E11" s="84"/>
      <c r="F11" s="84"/>
      <c r="G11" s="85"/>
      <c r="H11" s="79"/>
    </row>
    <row r="12" spans="2:8" ht="15.75" thickTop="1" x14ac:dyDescent="0.25">
      <c r="B12" s="75"/>
      <c r="C12" s="168" t="s">
        <v>157</v>
      </c>
      <c r="D12" s="169"/>
      <c r="E12" s="170" t="s">
        <v>195</v>
      </c>
      <c r="F12" s="171"/>
      <c r="G12" s="78"/>
      <c r="H12" s="79"/>
    </row>
    <row r="13" spans="2:8" ht="35.25" customHeight="1" x14ac:dyDescent="0.25">
      <c r="B13" s="75"/>
      <c r="C13" s="175" t="s">
        <v>188</v>
      </c>
      <c r="D13" s="176"/>
      <c r="E13" s="177" t="s">
        <v>193</v>
      </c>
      <c r="F13" s="178"/>
      <c r="G13" s="78"/>
      <c r="H13" s="79"/>
    </row>
    <row r="14" spans="2:8" ht="17.25" customHeight="1" x14ac:dyDescent="0.25">
      <c r="B14" s="75"/>
      <c r="C14" s="175" t="s">
        <v>189</v>
      </c>
      <c r="D14" s="176"/>
      <c r="E14" s="177" t="s">
        <v>191</v>
      </c>
      <c r="F14" s="178"/>
      <c r="G14" s="78"/>
      <c r="H14" s="79"/>
    </row>
    <row r="15" spans="2:8" ht="19.5" customHeight="1" x14ac:dyDescent="0.25">
      <c r="B15" s="75"/>
      <c r="C15" s="175" t="s">
        <v>190</v>
      </c>
      <c r="D15" s="176"/>
      <c r="E15" s="177" t="s">
        <v>192</v>
      </c>
      <c r="F15" s="178"/>
      <c r="G15" s="78"/>
      <c r="H15" s="79"/>
    </row>
    <row r="16" spans="2:8" ht="69.75" customHeight="1" x14ac:dyDescent="0.25">
      <c r="B16" s="75"/>
      <c r="C16" s="175" t="s">
        <v>159</v>
      </c>
      <c r="D16" s="176"/>
      <c r="E16" s="177" t="s">
        <v>160</v>
      </c>
      <c r="F16" s="178"/>
      <c r="G16" s="78"/>
      <c r="H16" s="79"/>
    </row>
    <row r="17" spans="2:8" ht="34.5" customHeight="1" x14ac:dyDescent="0.25">
      <c r="B17" s="75"/>
      <c r="C17" s="179" t="s">
        <v>2</v>
      </c>
      <c r="D17" s="180"/>
      <c r="E17" s="181" t="s">
        <v>202</v>
      </c>
      <c r="F17" s="182"/>
      <c r="G17" s="78"/>
      <c r="H17" s="79"/>
    </row>
    <row r="18" spans="2:8" ht="27.75" customHeight="1" x14ac:dyDescent="0.25">
      <c r="B18" s="75"/>
      <c r="C18" s="179" t="s">
        <v>3</v>
      </c>
      <c r="D18" s="180"/>
      <c r="E18" s="181" t="s">
        <v>203</v>
      </c>
      <c r="F18" s="182"/>
      <c r="G18" s="78"/>
      <c r="H18" s="79"/>
    </row>
    <row r="19" spans="2:8" ht="28.5" customHeight="1" x14ac:dyDescent="0.25">
      <c r="B19" s="75"/>
      <c r="C19" s="179" t="s">
        <v>42</v>
      </c>
      <c r="D19" s="180"/>
      <c r="E19" s="181" t="s">
        <v>204</v>
      </c>
      <c r="F19" s="182"/>
      <c r="G19" s="78"/>
      <c r="H19" s="79"/>
    </row>
    <row r="20" spans="2:8" ht="72.75" customHeight="1" x14ac:dyDescent="0.25">
      <c r="B20" s="75"/>
      <c r="C20" s="179" t="s">
        <v>1</v>
      </c>
      <c r="D20" s="180"/>
      <c r="E20" s="181" t="s">
        <v>205</v>
      </c>
      <c r="F20" s="182"/>
      <c r="G20" s="78"/>
      <c r="H20" s="79"/>
    </row>
    <row r="21" spans="2:8" ht="64.5" customHeight="1" x14ac:dyDescent="0.25">
      <c r="B21" s="75"/>
      <c r="C21" s="179" t="s">
        <v>48</v>
      </c>
      <c r="D21" s="180"/>
      <c r="E21" s="181" t="s">
        <v>163</v>
      </c>
      <c r="F21" s="182"/>
      <c r="G21" s="78"/>
      <c r="H21" s="79"/>
    </row>
    <row r="22" spans="2:8" ht="71.25" customHeight="1" x14ac:dyDescent="0.25">
      <c r="B22" s="75"/>
      <c r="C22" s="179" t="s">
        <v>162</v>
      </c>
      <c r="D22" s="180"/>
      <c r="E22" s="181" t="s">
        <v>164</v>
      </c>
      <c r="F22" s="182"/>
      <c r="G22" s="78"/>
      <c r="H22" s="79"/>
    </row>
    <row r="23" spans="2:8" ht="55.5" customHeight="1" x14ac:dyDescent="0.25">
      <c r="B23" s="75"/>
      <c r="C23" s="186" t="s">
        <v>165</v>
      </c>
      <c r="D23" s="187"/>
      <c r="E23" s="181" t="s">
        <v>166</v>
      </c>
      <c r="F23" s="182"/>
      <c r="G23" s="78"/>
      <c r="H23" s="79"/>
    </row>
    <row r="24" spans="2:8" ht="42" customHeight="1" x14ac:dyDescent="0.25">
      <c r="B24" s="75"/>
      <c r="C24" s="186" t="s">
        <v>46</v>
      </c>
      <c r="D24" s="187"/>
      <c r="E24" s="181" t="s">
        <v>167</v>
      </c>
      <c r="F24" s="182"/>
      <c r="G24" s="78"/>
      <c r="H24" s="79"/>
    </row>
    <row r="25" spans="2:8" ht="59.25" customHeight="1" x14ac:dyDescent="0.25">
      <c r="B25" s="75"/>
      <c r="C25" s="186" t="s">
        <v>155</v>
      </c>
      <c r="D25" s="187"/>
      <c r="E25" s="181" t="s">
        <v>168</v>
      </c>
      <c r="F25" s="182"/>
      <c r="G25" s="78"/>
      <c r="H25" s="79"/>
    </row>
    <row r="26" spans="2:8" ht="23.25" customHeight="1" x14ac:dyDescent="0.25">
      <c r="B26" s="75"/>
      <c r="C26" s="186" t="s">
        <v>12</v>
      </c>
      <c r="D26" s="187"/>
      <c r="E26" s="181" t="s">
        <v>169</v>
      </c>
      <c r="F26" s="182"/>
      <c r="G26" s="78"/>
      <c r="H26" s="79"/>
    </row>
    <row r="27" spans="2:8" ht="30.75" customHeight="1" x14ac:dyDescent="0.25">
      <c r="B27" s="75"/>
      <c r="C27" s="186" t="s">
        <v>173</v>
      </c>
      <c r="D27" s="187"/>
      <c r="E27" s="181" t="s">
        <v>170</v>
      </c>
      <c r="F27" s="182"/>
      <c r="G27" s="78"/>
      <c r="H27" s="79"/>
    </row>
    <row r="28" spans="2:8" ht="35.25" customHeight="1" x14ac:dyDescent="0.25">
      <c r="B28" s="75"/>
      <c r="C28" s="186" t="s">
        <v>174</v>
      </c>
      <c r="D28" s="187"/>
      <c r="E28" s="181" t="s">
        <v>171</v>
      </c>
      <c r="F28" s="182"/>
      <c r="G28" s="78"/>
      <c r="H28" s="79"/>
    </row>
    <row r="29" spans="2:8" ht="33" customHeight="1" x14ac:dyDescent="0.25">
      <c r="B29" s="75"/>
      <c r="C29" s="186" t="s">
        <v>174</v>
      </c>
      <c r="D29" s="187"/>
      <c r="E29" s="181" t="s">
        <v>171</v>
      </c>
      <c r="F29" s="182"/>
      <c r="G29" s="78"/>
      <c r="H29" s="79"/>
    </row>
    <row r="30" spans="2:8" ht="30" customHeight="1" x14ac:dyDescent="0.25">
      <c r="B30" s="75"/>
      <c r="C30" s="186" t="s">
        <v>175</v>
      </c>
      <c r="D30" s="187"/>
      <c r="E30" s="181" t="s">
        <v>172</v>
      </c>
      <c r="F30" s="182"/>
      <c r="G30" s="78"/>
      <c r="H30" s="79"/>
    </row>
    <row r="31" spans="2:8" ht="35.25" customHeight="1" x14ac:dyDescent="0.25">
      <c r="B31" s="75"/>
      <c r="C31" s="186" t="s">
        <v>176</v>
      </c>
      <c r="D31" s="187"/>
      <c r="E31" s="181" t="s">
        <v>177</v>
      </c>
      <c r="F31" s="182"/>
      <c r="G31" s="78"/>
      <c r="H31" s="79"/>
    </row>
    <row r="32" spans="2:8" ht="31.5" customHeight="1" x14ac:dyDescent="0.25">
      <c r="B32" s="75"/>
      <c r="C32" s="186" t="s">
        <v>178</v>
      </c>
      <c r="D32" s="187"/>
      <c r="E32" s="181" t="s">
        <v>179</v>
      </c>
      <c r="F32" s="182"/>
      <c r="G32" s="78"/>
      <c r="H32" s="79"/>
    </row>
    <row r="33" spans="2:8" ht="35.25" customHeight="1" x14ac:dyDescent="0.25">
      <c r="B33" s="75"/>
      <c r="C33" s="186" t="s">
        <v>180</v>
      </c>
      <c r="D33" s="187"/>
      <c r="E33" s="181" t="s">
        <v>181</v>
      </c>
      <c r="F33" s="182"/>
      <c r="G33" s="78"/>
      <c r="H33" s="79"/>
    </row>
    <row r="34" spans="2:8" ht="59.25" customHeight="1" x14ac:dyDescent="0.25">
      <c r="B34" s="75"/>
      <c r="C34" s="186" t="s">
        <v>182</v>
      </c>
      <c r="D34" s="187"/>
      <c r="E34" s="181" t="s">
        <v>183</v>
      </c>
      <c r="F34" s="182"/>
      <c r="G34" s="78"/>
      <c r="H34" s="79"/>
    </row>
    <row r="35" spans="2:8" ht="29.25" customHeight="1" x14ac:dyDescent="0.25">
      <c r="B35" s="75"/>
      <c r="C35" s="186" t="s">
        <v>29</v>
      </c>
      <c r="D35" s="187"/>
      <c r="E35" s="181" t="s">
        <v>184</v>
      </c>
      <c r="F35" s="182"/>
      <c r="G35" s="78"/>
      <c r="H35" s="79"/>
    </row>
    <row r="36" spans="2:8" ht="82.5" customHeight="1" x14ac:dyDescent="0.25">
      <c r="B36" s="75"/>
      <c r="C36" s="186" t="s">
        <v>186</v>
      </c>
      <c r="D36" s="187"/>
      <c r="E36" s="181" t="s">
        <v>185</v>
      </c>
      <c r="F36" s="182"/>
      <c r="G36" s="78"/>
      <c r="H36" s="79"/>
    </row>
    <row r="37" spans="2:8" ht="46.5" customHeight="1" x14ac:dyDescent="0.25">
      <c r="B37" s="75"/>
      <c r="C37" s="186" t="s">
        <v>39</v>
      </c>
      <c r="D37" s="187"/>
      <c r="E37" s="181" t="s">
        <v>187</v>
      </c>
      <c r="F37" s="182"/>
      <c r="G37" s="78"/>
      <c r="H37" s="79"/>
    </row>
    <row r="38" spans="2:8" ht="6.75" customHeight="1" thickBot="1" x14ac:dyDescent="0.3">
      <c r="B38" s="75"/>
      <c r="C38" s="188"/>
      <c r="D38" s="189"/>
      <c r="E38" s="190"/>
      <c r="F38" s="191"/>
      <c r="G38" s="78"/>
      <c r="H38" s="79"/>
    </row>
    <row r="39" spans="2:8" ht="15.75" thickTop="1" x14ac:dyDescent="0.25">
      <c r="B39" s="75"/>
      <c r="C39" s="76"/>
      <c r="D39" s="76"/>
      <c r="E39" s="77"/>
      <c r="F39" s="77"/>
      <c r="G39" s="78"/>
      <c r="H39" s="79"/>
    </row>
    <row r="40" spans="2:8" ht="21" customHeight="1" x14ac:dyDescent="0.25">
      <c r="B40" s="183" t="s">
        <v>196</v>
      </c>
      <c r="C40" s="184"/>
      <c r="D40" s="184"/>
      <c r="E40" s="184"/>
      <c r="F40" s="184"/>
      <c r="G40" s="184"/>
      <c r="H40" s="185"/>
    </row>
    <row r="41" spans="2:8" ht="20.25" customHeight="1" x14ac:dyDescent="0.25">
      <c r="B41" s="183" t="s">
        <v>197</v>
      </c>
      <c r="C41" s="184"/>
      <c r="D41" s="184"/>
      <c r="E41" s="184"/>
      <c r="F41" s="184"/>
      <c r="G41" s="184"/>
      <c r="H41" s="185"/>
    </row>
    <row r="42" spans="2:8" ht="20.25" customHeight="1" x14ac:dyDescent="0.25">
      <c r="B42" s="183" t="s">
        <v>198</v>
      </c>
      <c r="C42" s="184"/>
      <c r="D42" s="184"/>
      <c r="E42" s="184"/>
      <c r="F42" s="184"/>
      <c r="G42" s="184"/>
      <c r="H42" s="185"/>
    </row>
    <row r="43" spans="2:8" ht="20.25" customHeight="1" x14ac:dyDescent="0.25">
      <c r="B43" s="183" t="s">
        <v>199</v>
      </c>
      <c r="C43" s="184"/>
      <c r="D43" s="184"/>
      <c r="E43" s="184"/>
      <c r="F43" s="184"/>
      <c r="G43" s="184"/>
      <c r="H43" s="185"/>
    </row>
    <row r="44" spans="2:8" x14ac:dyDescent="0.25">
      <c r="B44" s="183" t="s">
        <v>200</v>
      </c>
      <c r="C44" s="184"/>
      <c r="D44" s="184"/>
      <c r="E44" s="184"/>
      <c r="F44" s="184"/>
      <c r="G44" s="184"/>
      <c r="H44" s="185"/>
    </row>
    <row r="45" spans="2:8" ht="15.75" thickBot="1" x14ac:dyDescent="0.3">
      <c r="B45" s="80"/>
      <c r="C45" s="81"/>
      <c r="D45" s="81"/>
      <c r="E45" s="81"/>
      <c r="F45" s="81"/>
      <c r="G45" s="81"/>
      <c r="H45" s="82"/>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65"/>
  <sheetViews>
    <sheetView tabSelected="1" topLeftCell="A58" zoomScale="87" zoomScaleNormal="87" workbookViewId="0">
      <selection activeCell="Q69" sqref="Q69"/>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24.710937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209"/>
      <c r="B1" s="209"/>
      <c r="C1" s="209"/>
      <c r="D1" s="209"/>
      <c r="E1" s="210" t="s">
        <v>212</v>
      </c>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2" t="s">
        <v>213</v>
      </c>
      <c r="AJ1" s="209"/>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209"/>
      <c r="B2" s="209"/>
      <c r="C2" s="209"/>
      <c r="D2" s="209"/>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09"/>
      <c r="AJ2" s="209"/>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26.25" customHeight="1" x14ac:dyDescent="0.2">
      <c r="A3" s="192" t="s">
        <v>209</v>
      </c>
      <c r="B3" s="192"/>
      <c r="C3" s="213" t="s">
        <v>261</v>
      </c>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36" customHeight="1" x14ac:dyDescent="0.25">
      <c r="A4" s="192" t="s">
        <v>210</v>
      </c>
      <c r="B4" s="192"/>
      <c r="C4" s="214" t="s">
        <v>262</v>
      </c>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6"/>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192" t="s">
        <v>211</v>
      </c>
      <c r="B5" s="192"/>
      <c r="C5" s="217" t="s">
        <v>263</v>
      </c>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9"/>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220" t="s">
        <v>133</v>
      </c>
      <c r="B6" s="220"/>
      <c r="C6" s="220"/>
      <c r="D6" s="220"/>
      <c r="E6" s="220"/>
      <c r="F6" s="220"/>
      <c r="G6" s="220"/>
      <c r="H6" s="220" t="s">
        <v>134</v>
      </c>
      <c r="I6" s="220"/>
      <c r="J6" s="220"/>
      <c r="K6" s="220"/>
      <c r="L6" s="220"/>
      <c r="M6" s="220"/>
      <c r="N6" s="220"/>
      <c r="O6" s="220" t="s">
        <v>135</v>
      </c>
      <c r="P6" s="220"/>
      <c r="Q6" s="220"/>
      <c r="R6" s="220"/>
      <c r="S6" s="220"/>
      <c r="T6" s="220"/>
      <c r="U6" s="220"/>
      <c r="V6" s="220"/>
      <c r="W6" s="220"/>
      <c r="X6" s="220" t="s">
        <v>136</v>
      </c>
      <c r="Y6" s="220"/>
      <c r="Z6" s="220"/>
      <c r="AA6" s="220"/>
      <c r="AB6" s="220"/>
      <c r="AC6" s="220"/>
      <c r="AD6" s="220"/>
      <c r="AE6" s="220" t="s">
        <v>34</v>
      </c>
      <c r="AF6" s="220"/>
      <c r="AG6" s="220"/>
      <c r="AH6" s="220"/>
      <c r="AI6" s="220"/>
      <c r="AJ6" s="220"/>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193" t="s">
        <v>0</v>
      </c>
      <c r="B7" s="195" t="s">
        <v>2</v>
      </c>
      <c r="C7" s="194" t="s">
        <v>3</v>
      </c>
      <c r="D7" s="194" t="s">
        <v>42</v>
      </c>
      <c r="E7" s="195" t="s">
        <v>1</v>
      </c>
      <c r="F7" s="194" t="s">
        <v>48</v>
      </c>
      <c r="G7" s="194" t="s">
        <v>129</v>
      </c>
      <c r="H7" s="194" t="s">
        <v>33</v>
      </c>
      <c r="I7" s="195" t="s">
        <v>5</v>
      </c>
      <c r="J7" s="194" t="s">
        <v>85</v>
      </c>
      <c r="K7" s="194" t="s">
        <v>90</v>
      </c>
      <c r="L7" s="194" t="s">
        <v>43</v>
      </c>
      <c r="M7" s="195" t="s">
        <v>5</v>
      </c>
      <c r="N7" s="194" t="s">
        <v>46</v>
      </c>
      <c r="O7" s="200" t="s">
        <v>11</v>
      </c>
      <c r="P7" s="194" t="s">
        <v>155</v>
      </c>
      <c r="Q7" s="194" t="s">
        <v>12</v>
      </c>
      <c r="R7" s="194" t="s">
        <v>8</v>
      </c>
      <c r="S7" s="194"/>
      <c r="T7" s="194"/>
      <c r="U7" s="194"/>
      <c r="V7" s="194"/>
      <c r="W7" s="194"/>
      <c r="X7" s="200" t="s">
        <v>132</v>
      </c>
      <c r="Y7" s="200" t="s">
        <v>44</v>
      </c>
      <c r="Z7" s="200" t="s">
        <v>5</v>
      </c>
      <c r="AA7" s="200" t="s">
        <v>45</v>
      </c>
      <c r="AB7" s="200" t="s">
        <v>5</v>
      </c>
      <c r="AC7" s="200" t="s">
        <v>47</v>
      </c>
      <c r="AD7" s="200" t="s">
        <v>29</v>
      </c>
      <c r="AE7" s="194" t="s">
        <v>34</v>
      </c>
      <c r="AF7" s="194" t="s">
        <v>35</v>
      </c>
      <c r="AG7" s="194" t="s">
        <v>36</v>
      </c>
      <c r="AH7" s="194" t="s">
        <v>38</v>
      </c>
      <c r="AI7" s="194" t="s">
        <v>37</v>
      </c>
      <c r="AJ7" s="194"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37.15" customHeight="1" x14ac:dyDescent="0.25">
      <c r="A8" s="193"/>
      <c r="B8" s="195"/>
      <c r="C8" s="194"/>
      <c r="D8" s="194"/>
      <c r="E8" s="195"/>
      <c r="F8" s="194"/>
      <c r="G8" s="194"/>
      <c r="H8" s="194"/>
      <c r="I8" s="195"/>
      <c r="J8" s="194"/>
      <c r="K8" s="194"/>
      <c r="L8" s="195"/>
      <c r="M8" s="195"/>
      <c r="N8" s="194"/>
      <c r="O8" s="200"/>
      <c r="P8" s="194"/>
      <c r="Q8" s="194"/>
      <c r="R8" s="136" t="s">
        <v>13</v>
      </c>
      <c r="S8" s="136" t="s">
        <v>17</v>
      </c>
      <c r="T8" s="136" t="s">
        <v>28</v>
      </c>
      <c r="U8" s="136" t="s">
        <v>18</v>
      </c>
      <c r="V8" s="136" t="s">
        <v>21</v>
      </c>
      <c r="W8" s="136" t="s">
        <v>24</v>
      </c>
      <c r="X8" s="200"/>
      <c r="Y8" s="200"/>
      <c r="Z8" s="200"/>
      <c r="AA8" s="200"/>
      <c r="AB8" s="200"/>
      <c r="AC8" s="200"/>
      <c r="AD8" s="200"/>
      <c r="AE8" s="194"/>
      <c r="AF8" s="194"/>
      <c r="AG8" s="194"/>
      <c r="AH8" s="194"/>
      <c r="AI8" s="194"/>
      <c r="AJ8" s="194"/>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78.599999999999994" customHeight="1" x14ac:dyDescent="0.2">
      <c r="A9" s="201">
        <v>1</v>
      </c>
      <c r="B9" s="202" t="s">
        <v>127</v>
      </c>
      <c r="C9" s="203" t="s">
        <v>215</v>
      </c>
      <c r="D9" s="203" t="s">
        <v>216</v>
      </c>
      <c r="E9" s="203" t="s">
        <v>217</v>
      </c>
      <c r="F9" s="202" t="s">
        <v>119</v>
      </c>
      <c r="G9" s="208">
        <v>54</v>
      </c>
      <c r="H9" s="198" t="str">
        <f>IF(G9&lt;=0,"",IF(G9&lt;=2,"Muy Baja",IF(G9&lt;=24,"Baja",IF(G9&lt;=500,"Media",IF(G9&lt;=5000,"Alta","Muy Alta")))))</f>
        <v>Media</v>
      </c>
      <c r="I9" s="197">
        <v>0.6</v>
      </c>
      <c r="J9" s="196" t="s">
        <v>141</v>
      </c>
      <c r="K9" s="197" t="str">
        <f>IF(NOT(ISERROR(MATCH(J9,'Tabla Impacto'!$B$221:$B$223,0))),'Tabla Impacto'!$F$223&amp;"Por favor no seleccionar los criterios de impacto(Afectación Económica o presupuestal y Pérdida Reputacional)",J9)</f>
        <v xml:space="preserve">     Entre 50 y 100 SMLMV </v>
      </c>
      <c r="L9" s="198" t="str">
        <f>IF(OR(K9='Tabla Impacto'!$C$11,K9='Tabla Impacto'!$D$11),"Leve",IF(OR(K9='Tabla Impacto'!$C$12,K9='Tabla Impacto'!$D$12),"Menor",IF(OR(K9='Tabla Impacto'!$C$13,K9='Tabla Impacto'!$D$13),"Moderado",IF(OR(K9='Tabla Impacto'!$C$14,K9='Tabla Impacto'!$D$14),"Mayor",IF(OR(K9='Tabla Impacto'!$C$15,K9='Tabla Impacto'!$D$15),"Catastrófico","")))))</f>
        <v>Moderado</v>
      </c>
      <c r="M9" s="197">
        <f>IF(L9="","",IF(L9="Leve",0.2,IF(L9="Menor",0.4,IF(L9="Moderado",0.6,IF(L9="Mayor",0.8,IF(L9="Catastrófico",1,))))))</f>
        <v>0.6</v>
      </c>
      <c r="N9" s="199"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Moderado</v>
      </c>
      <c r="O9" s="133">
        <v>1</v>
      </c>
      <c r="P9" s="141" t="s">
        <v>218</v>
      </c>
      <c r="Q9" s="122" t="str">
        <f>IF(OR(R9="Preventivo",R9="Detectivo"),"Probabilidad",IF(R9="Correctivo","Impacto",""))</f>
        <v>Probabilidad</v>
      </c>
      <c r="R9" s="123" t="s">
        <v>14</v>
      </c>
      <c r="S9" s="123" t="s">
        <v>9</v>
      </c>
      <c r="T9" s="124" t="str">
        <f>IF(AND(R9="Preventivo",S9="Automático"),"50%",IF(AND(R9="Preventivo",S9="Manual"),"40%",IF(AND(R9="Detectivo",S9="Automático"),"40%",IF(AND(R9="Detectivo",S9="Manual"),"30%",IF(AND(R9="Correctivo",S9="Automático"),"35%",IF(AND(R9="Correctivo",S9="Manual"),"25%",""))))))</f>
        <v>40%</v>
      </c>
      <c r="U9" s="123" t="s">
        <v>19</v>
      </c>
      <c r="V9" s="123" t="s">
        <v>22</v>
      </c>
      <c r="W9" s="123" t="s">
        <v>214</v>
      </c>
      <c r="X9" s="145">
        <f>IFERROR(IF(Q9="Probabilidad",(I9-(+I9*T9)),IF(Q9="Impacto",I9,"")),"")</f>
        <v>0.36</v>
      </c>
      <c r="Y9" s="146" t="str">
        <f>IFERROR(IF(X9="","",IF(X9&lt;=0.2,"Muy Baja",IF(X9&lt;=0.4,"Baja",IF(X9&lt;=0.6,"Media",IF(X9&lt;=0.8,"Alta","Muy Alta"))))),"")</f>
        <v>Baja</v>
      </c>
      <c r="Z9" s="147">
        <f>+X9</f>
        <v>0.36</v>
      </c>
      <c r="AA9" s="146" t="str">
        <f>IFERROR(IF(AB9="","",IF(AB9&lt;=0.2,"Leve",IF(AB9&lt;=0.4,"Menor",IF(AB9&lt;=0.6,"Moderado",IF(AB9&lt;=0.8,"Mayor","Catastrófico"))))),"")</f>
        <v>Moderado</v>
      </c>
      <c r="AB9" s="147">
        <f>IFERROR(IF(Q9="Impacto",(M9-(+M9*T9)),IF(Q9="Probabilidad",M9,"")),"")</f>
        <v>0.6</v>
      </c>
      <c r="AC9" s="148" t="str">
        <f>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49" t="s">
        <v>31</v>
      </c>
      <c r="AE9" s="134"/>
      <c r="AF9" s="135"/>
      <c r="AG9" s="128"/>
      <c r="AH9" s="128"/>
      <c r="AI9" s="134"/>
      <c r="AJ9" s="129"/>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ht="93" customHeight="1" x14ac:dyDescent="0.2">
      <c r="A10" s="201"/>
      <c r="B10" s="202"/>
      <c r="C10" s="204"/>
      <c r="D10" s="204"/>
      <c r="E10" s="204"/>
      <c r="F10" s="202"/>
      <c r="G10" s="208"/>
      <c r="H10" s="198"/>
      <c r="I10" s="197"/>
      <c r="J10" s="196"/>
      <c r="K10" s="197">
        <f t="shared" ref="K10:K26" ca="1" si="0">IF(NOT(ISERROR(MATCH(J10,_xlfn.ANCHORARRAY(E21),0))),I23&amp;"Por favor no seleccionar los criterios de impacto",J10)</f>
        <v>0</v>
      </c>
      <c r="L10" s="198"/>
      <c r="M10" s="197"/>
      <c r="N10" s="199"/>
      <c r="O10" s="137">
        <v>2</v>
      </c>
      <c r="P10" s="141" t="s">
        <v>219</v>
      </c>
      <c r="Q10" s="122" t="str">
        <f>IF(OR(R10="Preventivo",R10="Detectivo"),"Probabilidad",IF(R10="Correctivo","Impacto",""))</f>
        <v>Probabilidad</v>
      </c>
      <c r="R10" s="123" t="s">
        <v>14</v>
      </c>
      <c r="S10" s="123" t="s">
        <v>9</v>
      </c>
      <c r="T10" s="124" t="str">
        <f t="shared" ref="T10:T14" si="1">IF(AND(R10="Preventivo",S10="Automático"),"50%",IF(AND(R10="Preventivo",S10="Manual"),"40%",IF(AND(R10="Detectivo",S10="Automático"),"40%",IF(AND(R10="Detectivo",S10="Manual"),"30%",IF(AND(R10="Correctivo",S10="Automático"),"35%",IF(AND(R10="Correctivo",S10="Manual"),"25%",""))))))</f>
        <v>40%</v>
      </c>
      <c r="U10" s="123" t="s">
        <v>19</v>
      </c>
      <c r="V10" s="123" t="s">
        <v>22</v>
      </c>
      <c r="W10" s="123" t="s">
        <v>214</v>
      </c>
      <c r="X10" s="145">
        <v>0.22</v>
      </c>
      <c r="Y10" s="146" t="str">
        <f>IFERROR(IF(X10="","",IF(X10&lt;=0.2,"Muy Baja",IF(X10&lt;=0.4,"Baja",IF(X10&lt;=0.6,"Media",IF(X10&lt;=0.8,"Alta","Muy Alta"))))),"")</f>
        <v>Baja</v>
      </c>
      <c r="Z10" s="147">
        <f>+X10</f>
        <v>0.22</v>
      </c>
      <c r="AA10" s="146" t="str">
        <f>IFERROR(IF(AB10="","",IF(AB10&lt;=0.2,"Leve",IF(AB10&lt;=0.4,"Menor",IF(AB10&lt;=0.6,"Moderado",IF(AB10&lt;=0.8,"Mayor","Catastrófico"))))),"")</f>
        <v>Moderado</v>
      </c>
      <c r="AB10" s="147">
        <v>0.6</v>
      </c>
      <c r="AC10" s="148"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9" t="s">
        <v>31</v>
      </c>
      <c r="AE10" s="134"/>
      <c r="AF10" s="135"/>
      <c r="AG10" s="128"/>
      <c r="AH10" s="128"/>
      <c r="AI10" s="134"/>
      <c r="AJ10" s="135"/>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x14ac:dyDescent="0.2">
      <c r="A11" s="201"/>
      <c r="B11" s="202"/>
      <c r="C11" s="204"/>
      <c r="D11" s="204"/>
      <c r="E11" s="204"/>
      <c r="F11" s="202"/>
      <c r="G11" s="208"/>
      <c r="H11" s="198"/>
      <c r="I11" s="197"/>
      <c r="J11" s="196"/>
      <c r="K11" s="197">
        <f t="shared" ca="1" si="0"/>
        <v>0</v>
      </c>
      <c r="L11" s="198"/>
      <c r="M11" s="197"/>
      <c r="N11" s="199"/>
      <c r="O11" s="137">
        <v>4</v>
      </c>
      <c r="P11" s="121"/>
      <c r="Q11" s="122"/>
      <c r="R11" s="123"/>
      <c r="S11" s="123"/>
      <c r="T11" s="124"/>
      <c r="U11" s="123"/>
      <c r="V11" s="123"/>
      <c r="W11" s="123"/>
      <c r="X11" s="125"/>
      <c r="Y11" s="126"/>
      <c r="Z11" s="124"/>
      <c r="AA11" s="126"/>
      <c r="AB11" s="124"/>
      <c r="AC11" s="127"/>
      <c r="AD11" s="123"/>
      <c r="AE11" s="134"/>
      <c r="AF11" s="135"/>
      <c r="AG11" s="128"/>
      <c r="AH11" s="128"/>
      <c r="AI11" s="134"/>
      <c r="AJ11" s="135"/>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201"/>
      <c r="B12" s="202"/>
      <c r="C12" s="204"/>
      <c r="D12" s="204"/>
      <c r="E12" s="204"/>
      <c r="F12" s="202"/>
      <c r="G12" s="208"/>
      <c r="H12" s="198"/>
      <c r="I12" s="197"/>
      <c r="J12" s="196"/>
      <c r="K12" s="197">
        <f t="shared" ca="1" si="0"/>
        <v>0</v>
      </c>
      <c r="L12" s="198"/>
      <c r="M12" s="197"/>
      <c r="N12" s="199"/>
      <c r="O12" s="133"/>
      <c r="P12" s="121"/>
      <c r="Q12" s="122"/>
      <c r="R12" s="123"/>
      <c r="S12" s="123"/>
      <c r="T12" s="124"/>
      <c r="U12" s="123"/>
      <c r="V12" s="123"/>
      <c r="W12" s="123"/>
      <c r="X12" s="125"/>
      <c r="Y12" s="126"/>
      <c r="Z12" s="124"/>
      <c r="AA12" s="126"/>
      <c r="AB12" s="124"/>
      <c r="AC12" s="127"/>
      <c r="AD12" s="123"/>
      <c r="AE12" s="134"/>
      <c r="AF12" s="135"/>
      <c r="AG12" s="128"/>
      <c r="AH12" s="128"/>
      <c r="AI12" s="134"/>
      <c r="AJ12" s="135"/>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ht="12.75" customHeight="1" x14ac:dyDescent="0.2">
      <c r="A13" s="201"/>
      <c r="B13" s="202"/>
      <c r="C13" s="204"/>
      <c r="D13" s="204"/>
      <c r="E13" s="204"/>
      <c r="F13" s="202"/>
      <c r="G13" s="208"/>
      <c r="H13" s="198"/>
      <c r="I13" s="197"/>
      <c r="J13" s="196"/>
      <c r="K13" s="197">
        <f t="shared" ca="1" si="0"/>
        <v>0</v>
      </c>
      <c r="L13" s="198"/>
      <c r="M13" s="197"/>
      <c r="N13" s="199"/>
      <c r="O13" s="133">
        <v>5</v>
      </c>
      <c r="P13" s="121"/>
      <c r="Q13" s="122" t="str">
        <f t="shared" ref="Q13:Q14" si="2">IF(OR(R13="Preventivo",R13="Detectivo"),"Probabilidad",IF(R13="Correctivo","Impacto",""))</f>
        <v/>
      </c>
      <c r="R13" s="123"/>
      <c r="S13" s="123"/>
      <c r="T13" s="124" t="str">
        <f t="shared" si="1"/>
        <v/>
      </c>
      <c r="U13" s="123"/>
      <c r="V13" s="123"/>
      <c r="W13" s="123"/>
      <c r="X13" s="131" t="str">
        <f t="shared" ref="X13:X14" si="3">IFERROR(IF(AND(Q12="Probabilidad",Q13="Probabilidad"),(Z12-(+Z12*T13)),IF(AND(Q12="Impacto",Q13="Probabilidad"),(Z11-(+Z11*T13)),IF(Q13="Impacto",Z12,""))),"")</f>
        <v/>
      </c>
      <c r="Y13" s="126" t="str">
        <f>IFERROR(IF(X13="","",IF(X13&lt;=0.2,"Muy Baja",IF(X13&lt;=0.4,"Baja",IF(X13&lt;=0.6,"Media",IF(X13&lt;=0.8,"Alta","Muy Alta"))))),"")</f>
        <v/>
      </c>
      <c r="Z13" s="124" t="str">
        <f t="shared" ref="Z13:Z14" si="4">+X13</f>
        <v/>
      </c>
      <c r="AA13" s="126" t="str">
        <f t="shared" ref="AA13:AA14" si="5">IFERROR(IF(AB13="","",IF(AB13&lt;=0.2,"Leve",IF(AB13&lt;=0.4,"Menor",IF(AB13&lt;=0.6,"Moderado",IF(AB13&lt;=0.8,"Mayor","Catastrófico"))))),"")</f>
        <v/>
      </c>
      <c r="AB13" s="124" t="str">
        <f t="shared" ref="AB13:AB14" si="6">IFERROR(IF(AND(Q12="Impacto",Q13="Impacto"),(AB12-(+AB12*T13)),IF(AND(Q12="Probabilidad",Q13="Impacto"),(AB11-(+AB11*T13)),IF(Q13="Probabilidad",AB12,""))),"")</f>
        <v/>
      </c>
      <c r="AC13" s="127" t="str">
        <f t="shared" ref="AC13:AC14" si="7">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23"/>
      <c r="AE13" s="134"/>
      <c r="AF13" s="135"/>
      <c r="AG13" s="128"/>
      <c r="AH13" s="128"/>
      <c r="AI13" s="134"/>
      <c r="AJ13" s="135"/>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ht="12.75" customHeight="1" x14ac:dyDescent="0.2">
      <c r="A14" s="201"/>
      <c r="B14" s="202"/>
      <c r="C14" s="205"/>
      <c r="D14" s="205"/>
      <c r="E14" s="205"/>
      <c r="F14" s="202"/>
      <c r="G14" s="208"/>
      <c r="H14" s="198"/>
      <c r="I14" s="197"/>
      <c r="J14" s="196"/>
      <c r="K14" s="197">
        <f t="shared" ca="1" si="0"/>
        <v>0</v>
      </c>
      <c r="L14" s="198"/>
      <c r="M14" s="197"/>
      <c r="N14" s="199"/>
      <c r="O14" s="133">
        <v>6</v>
      </c>
      <c r="P14" s="121"/>
      <c r="Q14" s="122" t="str">
        <f t="shared" si="2"/>
        <v/>
      </c>
      <c r="R14" s="123"/>
      <c r="S14" s="123"/>
      <c r="T14" s="124" t="str">
        <f t="shared" si="1"/>
        <v/>
      </c>
      <c r="U14" s="123"/>
      <c r="V14" s="123"/>
      <c r="W14" s="123"/>
      <c r="X14" s="125" t="str">
        <f t="shared" si="3"/>
        <v/>
      </c>
      <c r="Y14" s="126" t="str">
        <f t="shared" ref="Y14" si="8">IFERROR(IF(X14="","",IF(X14&lt;=0.2,"Muy Baja",IF(X14&lt;=0.4,"Baja",IF(X14&lt;=0.6,"Media",IF(X14&lt;=0.8,"Alta","Muy Alta"))))),"")</f>
        <v/>
      </c>
      <c r="Z14" s="124" t="str">
        <f t="shared" si="4"/>
        <v/>
      </c>
      <c r="AA14" s="126" t="str">
        <f t="shared" si="5"/>
        <v/>
      </c>
      <c r="AB14" s="124" t="str">
        <f t="shared" si="6"/>
        <v/>
      </c>
      <c r="AC14" s="127" t="str">
        <f t="shared" si="7"/>
        <v/>
      </c>
      <c r="AD14" s="123"/>
      <c r="AE14" s="134"/>
      <c r="AF14" s="135"/>
      <c r="AG14" s="128"/>
      <c r="AH14" s="128"/>
      <c r="AI14" s="134"/>
      <c r="AJ14" s="135"/>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ht="104.25" customHeight="1" x14ac:dyDescent="0.2">
      <c r="A15" s="201">
        <v>2</v>
      </c>
      <c r="B15" s="202" t="s">
        <v>127</v>
      </c>
      <c r="C15" s="203" t="s">
        <v>220</v>
      </c>
      <c r="D15" s="203" t="s">
        <v>221</v>
      </c>
      <c r="E15" s="203" t="s">
        <v>222</v>
      </c>
      <c r="F15" s="202" t="s">
        <v>119</v>
      </c>
      <c r="G15" s="208">
        <v>9</v>
      </c>
      <c r="H15" s="198" t="str">
        <f>IF(G15&lt;=0,"",IF(G15&lt;=2,"Muy Baja",IF(G15&lt;=24,"Baja",IF(G15&lt;=500,"Media",IF(G15&lt;=5000,"Alta","Muy Alta")))))</f>
        <v>Baja</v>
      </c>
      <c r="I15" s="197">
        <f>IF(H15="","",IF(H15="Muy Baja",0.2,IF(H15="Baja",0.4,IF(H15="Media",0.6,IF(H15="Alta",0.8,IF(H15="Muy Alta",1,))))))</f>
        <v>0.4</v>
      </c>
      <c r="J15" s="196" t="s">
        <v>142</v>
      </c>
      <c r="K15" s="197" t="str">
        <f>IF(NOT(ISERROR(MATCH(J15,'Tabla Impacto'!$B$221:$B$223,0))),'Tabla Impacto'!$F$223&amp;"Por favor no seleccionar los criterios de impacto(Afectación Económica o presupuestal y Pérdida Reputacional)",J15)</f>
        <v xml:space="preserve">     Entre 10 y 50 SMLMV </v>
      </c>
      <c r="L15" s="198" t="str">
        <f>IF(OR(K15='Tabla Impacto'!$C$11,K15='Tabla Impacto'!$D$11),"Leve",IF(OR(K15='Tabla Impacto'!$C$12,K15='Tabla Impacto'!$D$12),"Menor",IF(OR(K15='Tabla Impacto'!$C$13,K15='Tabla Impacto'!$D$13),"Moderado",IF(OR(K15='Tabla Impacto'!$C$14,K15='Tabla Impacto'!$D$14),"Mayor",IF(OR(K15='Tabla Impacto'!$C$15,K15='Tabla Impacto'!$D$15),"Catastrófico","")))))</f>
        <v>Menor</v>
      </c>
      <c r="M15" s="197">
        <f>IF(L15="","",IF(L15="Leve",0.2,IF(L15="Menor",0.4,IF(L15="Moderado",0.6,IF(L15="Mayor",0.8,IF(L15="Catastrófico",1,))))))</f>
        <v>0.4</v>
      </c>
      <c r="N15" s="199"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133">
        <v>1</v>
      </c>
      <c r="P15" s="141" t="s">
        <v>223</v>
      </c>
      <c r="Q15" s="122" t="str">
        <f>IF(OR(R15="Preventivo",R15="Detectivo"),"Probabilidad",IF(R15="Correctivo","Impacto",""))</f>
        <v>Probabilidad</v>
      </c>
      <c r="R15" s="123" t="s">
        <v>14</v>
      </c>
      <c r="S15" s="123" t="s">
        <v>9</v>
      </c>
      <c r="T15" s="124" t="str">
        <f>IF(AND(R15="Preventivo",S15="Automático"),"50%",IF(AND(R15="Preventivo",S15="Manual"),"40%",IF(AND(R15="Detectivo",S15="Automático"),"40%",IF(AND(R15="Detectivo",S15="Manual"),"30%",IF(AND(R15="Correctivo",S15="Automático"),"35%",IF(AND(R15="Correctivo",S15="Manual"),"25%",""))))))</f>
        <v>40%</v>
      </c>
      <c r="U15" s="123" t="s">
        <v>19</v>
      </c>
      <c r="V15" s="123" t="s">
        <v>22</v>
      </c>
      <c r="W15" s="149" t="s">
        <v>115</v>
      </c>
      <c r="X15" s="145">
        <v>0.24</v>
      </c>
      <c r="Y15" s="146" t="str">
        <f>IFERROR(IF(X15="","",IF(X15&lt;=0.2,"Muy Baja",IF(X15&lt;=0.4,"Baja",IF(X15&lt;=0.6,"Media",IF(X15&lt;=0.8,"Alta","Muy Alta"))))),"")</f>
        <v>Baja</v>
      </c>
      <c r="Z15" s="147">
        <f>+X15</f>
        <v>0.24</v>
      </c>
      <c r="AA15" s="146" t="str">
        <f>IFERROR(IF(AB15="","",IF(AB15&lt;=0.2,"Leve",IF(AB15&lt;=0.4,"Menor",IF(AB15&lt;=0.6,"Moderado",IF(AB15&lt;=0.8,"Mayor","Catastrófico"))))),"")</f>
        <v>Menor</v>
      </c>
      <c r="AB15" s="147">
        <v>0.4</v>
      </c>
      <c r="AC15" s="148"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49" t="s">
        <v>31</v>
      </c>
      <c r="AE15" s="134"/>
      <c r="AF15" s="134"/>
      <c r="AG15" s="132"/>
      <c r="AH15" s="128"/>
      <c r="AI15" s="134"/>
      <c r="AJ15" s="129"/>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ht="76.900000000000006" customHeight="1" x14ac:dyDescent="0.2">
      <c r="A16" s="201"/>
      <c r="B16" s="202"/>
      <c r="C16" s="204"/>
      <c r="D16" s="206"/>
      <c r="E16" s="204"/>
      <c r="F16" s="202"/>
      <c r="G16" s="208"/>
      <c r="H16" s="198"/>
      <c r="I16" s="197"/>
      <c r="J16" s="196"/>
      <c r="K16" s="197">
        <f t="shared" ca="1" si="0"/>
        <v>0</v>
      </c>
      <c r="L16" s="198"/>
      <c r="M16" s="197"/>
      <c r="N16" s="199"/>
      <c r="O16" s="133">
        <v>2</v>
      </c>
      <c r="P16" s="141" t="s">
        <v>224</v>
      </c>
      <c r="Q16" s="122" t="str">
        <f>IF(OR(R16="Preventivo",R16="Detectivo"),"Probabilidad",IF(R16="Correctivo","Impacto",""))</f>
        <v>Probabilidad</v>
      </c>
      <c r="R16" s="123" t="s">
        <v>14</v>
      </c>
      <c r="S16" s="123" t="s">
        <v>9</v>
      </c>
      <c r="T16" s="124" t="str">
        <f t="shared" ref="T16:T20" si="9">IF(AND(R16="Preventivo",S16="Automático"),"50%",IF(AND(R16="Preventivo",S16="Manual"),"40%",IF(AND(R16="Detectivo",S16="Automático"),"40%",IF(AND(R16="Detectivo",S16="Manual"),"30%",IF(AND(R16="Correctivo",S16="Automático"),"35%",IF(AND(R16="Correctivo",S16="Manual"),"25%",""))))))</f>
        <v>40%</v>
      </c>
      <c r="U16" s="123" t="s">
        <v>19</v>
      </c>
      <c r="V16" s="123" t="s">
        <v>22</v>
      </c>
      <c r="W16" s="149" t="s">
        <v>115</v>
      </c>
      <c r="X16" s="145">
        <v>0.14399999999999999</v>
      </c>
      <c r="Y16" s="146" t="str">
        <f>IFERROR(IF(X16="","",IF(X16&lt;=0.2,"Muy Baja",IF(X16&lt;=0.4,"Baja",IF(X16&lt;=0.6,"Media",IF(X16&lt;=0.8,"Alta","Muy Alta"))))),"")</f>
        <v>Muy Baja</v>
      </c>
      <c r="Z16" s="147">
        <f>+X16</f>
        <v>0.14399999999999999</v>
      </c>
      <c r="AA16" s="146" t="str">
        <f>IFERROR(IF(AB16="","",IF(AB16&lt;=0.2,"Leve",IF(AB16&lt;=0.4,"Menor",IF(AB16&lt;=0.6,"Moderado",IF(AB16&lt;=0.8,"Mayor","Catastrófico"))))),"")</f>
        <v>Menor</v>
      </c>
      <c r="AB16" s="147">
        <v>0.4</v>
      </c>
      <c r="AC16" s="148"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Bajo</v>
      </c>
      <c r="AD16" s="149" t="s">
        <v>31</v>
      </c>
      <c r="AE16" s="134"/>
      <c r="AF16" s="134"/>
      <c r="AG16" s="132"/>
      <c r="AH16" s="128"/>
      <c r="AI16" s="134"/>
      <c r="AJ16" s="135"/>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x14ac:dyDescent="0.2">
      <c r="A17" s="201"/>
      <c r="B17" s="202"/>
      <c r="C17" s="204"/>
      <c r="D17" s="206"/>
      <c r="E17" s="204"/>
      <c r="F17" s="202"/>
      <c r="G17" s="208"/>
      <c r="H17" s="198"/>
      <c r="I17" s="197"/>
      <c r="J17" s="196"/>
      <c r="K17" s="197">
        <f t="shared" ca="1" si="0"/>
        <v>0</v>
      </c>
      <c r="L17" s="198"/>
      <c r="M17" s="197"/>
      <c r="N17" s="199"/>
      <c r="O17" s="133">
        <v>3</v>
      </c>
      <c r="P17" s="130"/>
      <c r="Q17" s="122" t="str">
        <f>IF(OR(R17="Preventivo",R17="Detectivo"),"Probabilidad",IF(R17="Correctivo","Impacto",""))</f>
        <v/>
      </c>
      <c r="R17" s="123"/>
      <c r="S17" s="123"/>
      <c r="T17" s="124" t="str">
        <f t="shared" si="9"/>
        <v/>
      </c>
      <c r="U17" s="123"/>
      <c r="V17" s="123"/>
      <c r="W17" s="123"/>
      <c r="X17" s="125" t="str">
        <f>IFERROR(IF(AND(Q16="Probabilidad",Q17="Probabilidad"),(Z16-(+Z16*T17)),IF(AND(Q16="Impacto",Q17="Probabilidad"),(Z15-(+Z15*T17)),IF(Q17="Impacto",Z16,""))),"")</f>
        <v/>
      </c>
      <c r="Y17" s="126" t="str">
        <f t="shared" ref="Y17:Y18" si="10">IFERROR(IF(X17="","",IF(X17&lt;=0.2,"Muy Baja",IF(X17&lt;=0.4,"Baja",IF(X17&lt;=0.6,"Media",IF(X17&lt;=0.8,"Alta","Muy Alta"))))),"")</f>
        <v/>
      </c>
      <c r="Z17" s="124" t="str">
        <f t="shared" ref="Z17:Z20" si="11">+X17</f>
        <v/>
      </c>
      <c r="AA17" s="126" t="str">
        <f t="shared" ref="AA17:AA20" si="12">IFERROR(IF(AB17="","",IF(AB17&lt;=0.2,"Leve",IF(AB17&lt;=0.4,"Menor",IF(AB17&lt;=0.6,"Moderado",IF(AB17&lt;=0.8,"Mayor","Catastrófico"))))),"")</f>
        <v/>
      </c>
      <c r="AB17" s="124" t="str">
        <f>IFERROR(IF(AND(Q16="Impacto",Q17="Impacto"),(AB16-(+AB16*T17)),IF(AND(Q16="Probabilidad",Q17="Impacto"),(AB15-(+AB15*T17)),IF(Q17="Probabilidad",AB16,""))),"")</f>
        <v/>
      </c>
      <c r="AC17" s="127" t="str">
        <f t="shared" ref="AC17" si="13">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23"/>
      <c r="AE17" s="134"/>
      <c r="AF17" s="135"/>
      <c r="AG17" s="128"/>
      <c r="AH17" s="128"/>
      <c r="AI17" s="134"/>
      <c r="AJ17" s="135"/>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201"/>
      <c r="B18" s="202"/>
      <c r="C18" s="204"/>
      <c r="D18" s="206"/>
      <c r="E18" s="204"/>
      <c r="F18" s="202"/>
      <c r="G18" s="208"/>
      <c r="H18" s="198"/>
      <c r="I18" s="197"/>
      <c r="J18" s="196"/>
      <c r="K18" s="197">
        <f t="shared" ca="1" si="0"/>
        <v>0</v>
      </c>
      <c r="L18" s="198"/>
      <c r="M18" s="197"/>
      <c r="N18" s="199"/>
      <c r="O18" s="133">
        <v>4</v>
      </c>
      <c r="P18" s="121"/>
      <c r="Q18" s="122" t="str">
        <f t="shared" ref="Q18:Q20" si="14">IF(OR(R18="Preventivo",R18="Detectivo"),"Probabilidad",IF(R18="Correctivo","Impacto",""))</f>
        <v/>
      </c>
      <c r="R18" s="123"/>
      <c r="S18" s="123"/>
      <c r="T18" s="124" t="str">
        <f t="shared" si="9"/>
        <v/>
      </c>
      <c r="U18" s="123"/>
      <c r="V18" s="123"/>
      <c r="W18" s="123"/>
      <c r="X18" s="125" t="str">
        <f t="shared" ref="X18:X20" si="15">IFERROR(IF(AND(Q17="Probabilidad",Q18="Probabilidad"),(Z17-(+Z17*T18)),IF(AND(Q17="Impacto",Q18="Probabilidad"),(Z16-(+Z16*T18)),IF(Q18="Impacto",Z17,""))),"")</f>
        <v/>
      </c>
      <c r="Y18" s="126" t="str">
        <f t="shared" si="10"/>
        <v/>
      </c>
      <c r="Z18" s="124" t="str">
        <f t="shared" si="11"/>
        <v/>
      </c>
      <c r="AA18" s="126" t="str">
        <f t="shared" si="12"/>
        <v/>
      </c>
      <c r="AB18" s="124" t="str">
        <f t="shared" ref="AB18:AB20" si="16">IFERROR(IF(AND(Q17="Impacto",Q18="Impacto"),(AB17-(+AB17*T18)),IF(AND(Q17="Probabilidad",Q18="Impacto"),(AB16-(+AB16*T18)),IF(Q18="Probabilidad",AB17,""))),"")</f>
        <v/>
      </c>
      <c r="AC18" s="127"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23"/>
      <c r="AE18" s="134"/>
      <c r="AF18" s="135"/>
      <c r="AG18" s="128"/>
      <c r="AH18" s="128"/>
      <c r="AI18" s="134"/>
      <c r="AJ18" s="135"/>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201"/>
      <c r="B19" s="202"/>
      <c r="C19" s="204"/>
      <c r="D19" s="206"/>
      <c r="E19" s="204"/>
      <c r="F19" s="202"/>
      <c r="G19" s="208"/>
      <c r="H19" s="198"/>
      <c r="I19" s="197"/>
      <c r="J19" s="196"/>
      <c r="K19" s="197">
        <f t="shared" ca="1" si="0"/>
        <v>0</v>
      </c>
      <c r="L19" s="198"/>
      <c r="M19" s="197"/>
      <c r="N19" s="199"/>
      <c r="O19" s="133">
        <v>5</v>
      </c>
      <c r="P19" s="121"/>
      <c r="Q19" s="122" t="str">
        <f t="shared" si="14"/>
        <v/>
      </c>
      <c r="R19" s="123"/>
      <c r="S19" s="123"/>
      <c r="T19" s="124" t="str">
        <f t="shared" si="9"/>
        <v/>
      </c>
      <c r="U19" s="123"/>
      <c r="V19" s="123"/>
      <c r="W19" s="123"/>
      <c r="X19" s="131" t="str">
        <f t="shared" si="15"/>
        <v/>
      </c>
      <c r="Y19" s="126" t="str">
        <f>IFERROR(IF(X19="","",IF(X19&lt;=0.2,"Muy Baja",IF(X19&lt;=0.4,"Baja",IF(X19&lt;=0.6,"Media",IF(X19&lt;=0.8,"Alta","Muy Alta"))))),"")</f>
        <v/>
      </c>
      <c r="Z19" s="124" t="str">
        <f t="shared" si="11"/>
        <v/>
      </c>
      <c r="AA19" s="126" t="str">
        <f t="shared" si="12"/>
        <v/>
      </c>
      <c r="AB19" s="124" t="str">
        <f t="shared" si="16"/>
        <v/>
      </c>
      <c r="AC19" s="127" t="str">
        <f t="shared" ref="AC19:AC20" si="17">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23"/>
      <c r="AE19" s="134"/>
      <c r="AF19" s="135"/>
      <c r="AG19" s="128"/>
      <c r="AH19" s="128"/>
      <c r="AI19" s="134"/>
      <c r="AJ19" s="135"/>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ht="47.25" customHeight="1" x14ac:dyDescent="0.2">
      <c r="A20" s="201"/>
      <c r="B20" s="202"/>
      <c r="C20" s="205"/>
      <c r="D20" s="207"/>
      <c r="E20" s="205"/>
      <c r="F20" s="202"/>
      <c r="G20" s="208"/>
      <c r="H20" s="198"/>
      <c r="I20" s="197"/>
      <c r="J20" s="196"/>
      <c r="K20" s="197">
        <f t="shared" ca="1" si="0"/>
        <v>0</v>
      </c>
      <c r="L20" s="198"/>
      <c r="M20" s="197"/>
      <c r="N20" s="199"/>
      <c r="O20" s="133">
        <v>6</v>
      </c>
      <c r="P20" s="121"/>
      <c r="Q20" s="122" t="str">
        <f t="shared" si="14"/>
        <v/>
      </c>
      <c r="R20" s="123"/>
      <c r="S20" s="123"/>
      <c r="T20" s="124" t="str">
        <f t="shared" si="9"/>
        <v/>
      </c>
      <c r="U20" s="123"/>
      <c r="V20" s="123"/>
      <c r="W20" s="123"/>
      <c r="X20" s="125" t="str">
        <f t="shared" si="15"/>
        <v/>
      </c>
      <c r="Y20" s="126" t="str">
        <f t="shared" ref="Y20" si="18">IFERROR(IF(X20="","",IF(X20&lt;=0.2,"Muy Baja",IF(X20&lt;=0.4,"Baja",IF(X20&lt;=0.6,"Media",IF(X20&lt;=0.8,"Alta","Muy Alta"))))),"")</f>
        <v/>
      </c>
      <c r="Z20" s="124" t="str">
        <f t="shared" si="11"/>
        <v/>
      </c>
      <c r="AA20" s="126" t="str">
        <f t="shared" si="12"/>
        <v/>
      </c>
      <c r="AB20" s="124" t="str">
        <f t="shared" si="16"/>
        <v/>
      </c>
      <c r="AC20" s="127" t="str">
        <f t="shared" si="17"/>
        <v/>
      </c>
      <c r="AD20" s="123"/>
      <c r="AE20" s="134"/>
      <c r="AF20" s="135"/>
      <c r="AG20" s="128"/>
      <c r="AH20" s="128"/>
      <c r="AI20" s="134"/>
      <c r="AJ20" s="135"/>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ht="89.25" x14ac:dyDescent="0.2">
      <c r="A21" s="201">
        <v>3</v>
      </c>
      <c r="B21" s="202" t="s">
        <v>126</v>
      </c>
      <c r="C21" s="203" t="s">
        <v>225</v>
      </c>
      <c r="D21" s="203" t="s">
        <v>226</v>
      </c>
      <c r="E21" s="203" t="s">
        <v>227</v>
      </c>
      <c r="F21" s="202" t="s">
        <v>119</v>
      </c>
      <c r="G21" s="208">
        <v>27</v>
      </c>
      <c r="H21" s="198" t="str">
        <f>IF(G21&lt;=0,"",IF(G21&lt;=2,"Muy Baja",IF(G21&lt;=24,"Baja",IF(G21&lt;=500,"Media",IF(G21&lt;=5000,"Alta","Muy Alta")))))</f>
        <v>Media</v>
      </c>
      <c r="I21" s="197">
        <f>IF(H21="","",IF(H21="Muy Baja",0.2,IF(H21="Baja",0.4,IF(H21="Media",0.6,IF(H21="Alta",0.8,IF(H21="Muy Alta",1,))))))</f>
        <v>0.6</v>
      </c>
      <c r="J21" s="196" t="s">
        <v>146</v>
      </c>
      <c r="K21" s="197" t="str">
        <f>IF(NOT(ISERROR(MATCH(J21,'Tabla Impacto'!$B$221:$B$223,0))),'Tabla Impacto'!$F$223&amp;"Por favor no seleccionar los criterios de impacto(Afectación Económica o presupuestal y Pérdida Reputacional)",J21)</f>
        <v xml:space="preserve">     El riesgo afecta la imagen de la entidad internamente, de conocimiento general, nivel interno, de junta dircetiva y accionistas y/o de provedores</v>
      </c>
      <c r="L21" s="198" t="str">
        <f>IF(OR(K21='Tabla Impacto'!$C$11,K21='Tabla Impacto'!$D$11),"Leve",IF(OR(K21='Tabla Impacto'!$C$12,K21='Tabla Impacto'!$D$12),"Menor",IF(OR(K21='Tabla Impacto'!$C$13,K21='Tabla Impacto'!$D$13),"Moderado",IF(OR(K21='Tabla Impacto'!$C$14,K21='Tabla Impacto'!$D$14),"Mayor",IF(OR(K21='Tabla Impacto'!$C$15,K21='Tabla Impacto'!$D$15),"Catastrófico","")))))</f>
        <v>Menor</v>
      </c>
      <c r="M21" s="197">
        <f>IF(L21="","",IF(L21="Leve",0.2,IF(L21="Menor",0.4,IF(L21="Moderado",0.6,IF(L21="Mayor",0.8,IF(L21="Catastrófico",1,))))))</f>
        <v>0.4</v>
      </c>
      <c r="N21" s="199"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133">
        <v>1</v>
      </c>
      <c r="P21" s="142" t="s">
        <v>228</v>
      </c>
      <c r="Q21" s="122" t="str">
        <f>IF(OR(R21="Preventivo",R21="Detectivo"),"Probabilidad",IF(R21="Correctivo","Impacto",""))</f>
        <v>Probabilidad</v>
      </c>
      <c r="R21" s="123" t="s">
        <v>14</v>
      </c>
      <c r="S21" s="123" t="s">
        <v>9</v>
      </c>
      <c r="T21" s="124" t="str">
        <f>IF(AND(R21="Preventivo",S21="Automático"),"50%",IF(AND(R21="Preventivo",S21="Manual"),"40%",IF(AND(R21="Detectivo",S21="Automático"),"40%",IF(AND(R21="Detectivo",S21="Manual"),"30%",IF(AND(R21="Correctivo",S21="Automático"),"35%",IF(AND(R21="Correctivo",S21="Manual"),"25%",""))))))</f>
        <v>40%</v>
      </c>
      <c r="U21" s="123" t="s">
        <v>19</v>
      </c>
      <c r="V21" s="123" t="s">
        <v>22</v>
      </c>
      <c r="W21" s="149" t="s">
        <v>115</v>
      </c>
      <c r="X21" s="145">
        <v>0.36</v>
      </c>
      <c r="Y21" s="146" t="str">
        <f>IFERROR(IF(X21="","",IF(X21&lt;=0.2,"Muy Baja",IF(X21&lt;=0.4,"Baja",IF(X21&lt;=0.6,"Media",IF(X21&lt;=0.8,"Alta","Muy Alta"))))),"")</f>
        <v>Baja</v>
      </c>
      <c r="Z21" s="147">
        <f>+X21</f>
        <v>0.36</v>
      </c>
      <c r="AA21" s="146" t="str">
        <f>IFERROR(IF(AB21="","",IF(AB21&lt;=0.2,"Leve",IF(AB21&lt;=0.4,"Menor",IF(AB21&lt;=0.6,"Moderado",IF(AB21&lt;=0.8,"Mayor","Catastrófico"))))),"")</f>
        <v>Menor</v>
      </c>
      <c r="AB21" s="147">
        <v>0.4</v>
      </c>
      <c r="AC21" s="148"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123" t="s">
        <v>31</v>
      </c>
      <c r="AE21" s="121"/>
      <c r="AF21" s="135"/>
      <c r="AG21" s="132"/>
      <c r="AH21" s="128"/>
      <c r="AI21" s="134"/>
      <c r="AJ21" s="135"/>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ht="81.75" customHeight="1" x14ac:dyDescent="0.2">
      <c r="A22" s="201"/>
      <c r="B22" s="202"/>
      <c r="C22" s="204"/>
      <c r="D22" s="204"/>
      <c r="E22" s="204"/>
      <c r="F22" s="202"/>
      <c r="G22" s="208"/>
      <c r="H22" s="198"/>
      <c r="I22" s="197"/>
      <c r="J22" s="196"/>
      <c r="K22" s="197">
        <f t="shared" ca="1" si="0"/>
        <v>0</v>
      </c>
      <c r="L22" s="198"/>
      <c r="M22" s="197"/>
      <c r="N22" s="199"/>
      <c r="O22" s="133">
        <v>2</v>
      </c>
      <c r="P22" s="141" t="s">
        <v>229</v>
      </c>
      <c r="Q22" s="122" t="str">
        <f>IF(OR(R22="Preventivo",R22="Detectivo"),"Probabilidad",IF(R22="Correctivo","Impacto",""))</f>
        <v>Probabilidad</v>
      </c>
      <c r="R22" s="144" t="s">
        <v>14</v>
      </c>
      <c r="S22" s="123" t="s">
        <v>9</v>
      </c>
      <c r="T22" s="124" t="str">
        <f t="shared" ref="T22:T26" si="19">IF(AND(R22="Preventivo",S22="Automático"),"50%",IF(AND(R22="Preventivo",S22="Manual"),"40%",IF(AND(R22="Detectivo",S22="Automático"),"40%",IF(AND(R22="Detectivo",S22="Manual"),"30%",IF(AND(R22="Correctivo",S22="Automático"),"35%",IF(AND(R22="Correctivo",S22="Manual"),"25%",""))))))</f>
        <v>40%</v>
      </c>
      <c r="U22" s="123" t="s">
        <v>19</v>
      </c>
      <c r="V22" s="123" t="s">
        <v>22</v>
      </c>
      <c r="W22" s="149" t="s">
        <v>115</v>
      </c>
      <c r="X22" s="145">
        <v>0.216</v>
      </c>
      <c r="Y22" s="146" t="str">
        <f>IFERROR(IF(X22="","",IF(X22&lt;=0.2,"Muy Baja",IF(X22&lt;=0.4,"Baja",IF(X22&lt;=0.6,"Media",IF(X22&lt;=0.8,"Alta","Muy Alta"))))),"")</f>
        <v>Baja</v>
      </c>
      <c r="Z22" s="147">
        <f>+X22</f>
        <v>0.216</v>
      </c>
      <c r="AA22" s="146" t="str">
        <f>IFERROR(IF(AB22="","",IF(AB22&lt;=0.2,"Leve",IF(AB22&lt;=0.4,"Menor",IF(AB22&lt;=0.6,"Moderado",IF(AB22&lt;=0.8,"Mayor","Catastrófico"))))),"")</f>
        <v>Menor</v>
      </c>
      <c r="AB22" s="147">
        <v>0.4</v>
      </c>
      <c r="AC22" s="148"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23" t="s">
        <v>31</v>
      </c>
      <c r="AE22" s="121"/>
      <c r="AF22" s="135"/>
      <c r="AG22" s="132"/>
      <c r="AH22" s="128"/>
      <c r="AI22" s="134"/>
      <c r="AJ22" s="135"/>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ht="76.5" x14ac:dyDescent="0.2">
      <c r="A23" s="201"/>
      <c r="B23" s="202"/>
      <c r="C23" s="204"/>
      <c r="D23" s="204"/>
      <c r="E23" s="204"/>
      <c r="F23" s="202"/>
      <c r="G23" s="208"/>
      <c r="H23" s="198"/>
      <c r="I23" s="197"/>
      <c r="J23" s="196"/>
      <c r="K23" s="197">
        <f t="shared" ca="1" si="0"/>
        <v>0</v>
      </c>
      <c r="L23" s="198"/>
      <c r="M23" s="197"/>
      <c r="N23" s="199"/>
      <c r="O23" s="133">
        <v>3</v>
      </c>
      <c r="P23" s="141" t="s">
        <v>230</v>
      </c>
      <c r="Q23" s="122" t="str">
        <f>IF(OR(R23="Preventivo",R23="Detectivo"),"Probabilidad",IF(R23="Correctivo","Impacto",""))</f>
        <v>Impacto</v>
      </c>
      <c r="R23" s="123" t="s">
        <v>16</v>
      </c>
      <c r="S23" s="123" t="s">
        <v>9</v>
      </c>
      <c r="T23" s="124" t="str">
        <f t="shared" si="19"/>
        <v>25%</v>
      </c>
      <c r="U23" s="123" t="s">
        <v>19</v>
      </c>
      <c r="V23" s="123" t="s">
        <v>22</v>
      </c>
      <c r="W23" s="149" t="s">
        <v>115</v>
      </c>
      <c r="X23" s="145">
        <v>0.13</v>
      </c>
      <c r="Y23" s="146" t="str">
        <f>IFERROR(IF(X23="","",IF(X23&lt;=0.2,"Muy Baja",IF(X23&lt;=0.4,"Baja",IF(X23&lt;=0.6,"Media",IF(X23&lt;=0.8,"Alta","Muy Alta"))))),"")</f>
        <v>Muy Baja</v>
      </c>
      <c r="Z23" s="147">
        <f>+X23</f>
        <v>0.13</v>
      </c>
      <c r="AA23" s="146" t="str">
        <f>IFERROR(IF(AB23="","",IF(AB23&lt;=0.2,"Leve",IF(AB23&lt;=0.4,"Menor",IF(AB23&lt;=0.6,"Moderado",IF(AB23&lt;=0.8,"Mayor","Catastrófico"))))),"")</f>
        <v>Menor</v>
      </c>
      <c r="AB23" s="147">
        <v>0.4</v>
      </c>
      <c r="AC23" s="148"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Bajo</v>
      </c>
      <c r="AD23" s="123" t="s">
        <v>31</v>
      </c>
      <c r="AE23" s="134"/>
      <c r="AF23" s="135"/>
      <c r="AG23" s="128"/>
      <c r="AH23" s="128"/>
      <c r="AI23" s="134"/>
      <c r="AJ23" s="135"/>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ht="12.75" customHeight="1" x14ac:dyDescent="0.2">
      <c r="A24" s="201"/>
      <c r="B24" s="202"/>
      <c r="C24" s="204"/>
      <c r="D24" s="204"/>
      <c r="E24" s="204"/>
      <c r="F24" s="202"/>
      <c r="G24" s="208"/>
      <c r="H24" s="198"/>
      <c r="I24" s="197"/>
      <c r="J24" s="196"/>
      <c r="K24" s="197">
        <f t="shared" ca="1" si="0"/>
        <v>0</v>
      </c>
      <c r="L24" s="198"/>
      <c r="M24" s="197"/>
      <c r="N24" s="199"/>
      <c r="O24" s="133">
        <v>4</v>
      </c>
      <c r="P24" s="121"/>
      <c r="Q24" s="122" t="str">
        <f t="shared" ref="Q24:Q26" si="20">IF(OR(R24="Preventivo",R24="Detectivo"),"Probabilidad",IF(R24="Correctivo","Impacto",""))</f>
        <v/>
      </c>
      <c r="R24" s="123"/>
      <c r="S24" s="123"/>
      <c r="T24" s="124" t="str">
        <f t="shared" si="19"/>
        <v/>
      </c>
      <c r="U24" s="123"/>
      <c r="V24" s="123"/>
      <c r="W24" s="123"/>
      <c r="X24" s="125" t="str">
        <f t="shared" ref="X24:X26" si="21">IFERROR(IF(AND(Q23="Probabilidad",Q24="Probabilidad"),(Z23-(+Z23*T24)),IF(AND(Q23="Impacto",Q24="Probabilidad"),(Z22-(+Z22*T24)),IF(Q24="Impacto",Z23,""))),"")</f>
        <v/>
      </c>
      <c r="Y24" s="126" t="str">
        <f t="shared" ref="Y24" si="22">IFERROR(IF(X24="","",IF(X24&lt;=0.2,"Muy Baja",IF(X24&lt;=0.4,"Baja",IF(X24&lt;=0.6,"Media",IF(X24&lt;=0.8,"Alta","Muy Alta"))))),"")</f>
        <v/>
      </c>
      <c r="Z24" s="124" t="str">
        <f t="shared" ref="Z24:Z26" si="23">+X24</f>
        <v/>
      </c>
      <c r="AA24" s="126" t="str">
        <f t="shared" ref="AA24:AA26" si="24">IFERROR(IF(AB24="","",IF(AB24&lt;=0.2,"Leve",IF(AB24&lt;=0.4,"Menor",IF(AB24&lt;=0.6,"Moderado",IF(AB24&lt;=0.8,"Mayor","Catastrófico"))))),"")</f>
        <v/>
      </c>
      <c r="AB24" s="124" t="str">
        <f t="shared" ref="AB24:AB26" si="25">IFERROR(IF(AND(Q23="Impacto",Q24="Impacto"),(AB23-(+AB23*T24)),IF(AND(Q23="Probabilidad",Q24="Impacto"),(AB22-(+AB22*T24)),IF(Q24="Probabilidad",AB23,""))),"")</f>
        <v/>
      </c>
      <c r="AC24" s="127"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23"/>
      <c r="AE24" s="134"/>
      <c r="AF24" s="135"/>
      <c r="AG24" s="128"/>
      <c r="AH24" s="128"/>
      <c r="AI24" s="134"/>
      <c r="AJ24" s="135"/>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ht="12.75" customHeight="1" x14ac:dyDescent="0.2">
      <c r="A25" s="201"/>
      <c r="B25" s="202"/>
      <c r="C25" s="204"/>
      <c r="D25" s="204"/>
      <c r="E25" s="204"/>
      <c r="F25" s="202"/>
      <c r="G25" s="208"/>
      <c r="H25" s="198"/>
      <c r="I25" s="197"/>
      <c r="J25" s="196"/>
      <c r="K25" s="197">
        <f t="shared" ca="1" si="0"/>
        <v>0</v>
      </c>
      <c r="L25" s="198"/>
      <c r="M25" s="197"/>
      <c r="N25" s="199"/>
      <c r="O25" s="133">
        <v>5</v>
      </c>
      <c r="P25" s="121"/>
      <c r="Q25" s="122" t="str">
        <f t="shared" si="20"/>
        <v/>
      </c>
      <c r="R25" s="123"/>
      <c r="S25" s="123"/>
      <c r="T25" s="124" t="str">
        <f t="shared" si="19"/>
        <v/>
      </c>
      <c r="U25" s="123"/>
      <c r="V25" s="123"/>
      <c r="W25" s="123"/>
      <c r="X25" s="131" t="str">
        <f t="shared" si="21"/>
        <v/>
      </c>
      <c r="Y25" s="126" t="str">
        <f>IFERROR(IF(X25="","",IF(X25&lt;=0.2,"Muy Baja",IF(X25&lt;=0.4,"Baja",IF(X25&lt;=0.6,"Media",IF(X25&lt;=0.8,"Alta","Muy Alta"))))),"")</f>
        <v/>
      </c>
      <c r="Z25" s="124" t="str">
        <f t="shared" si="23"/>
        <v/>
      </c>
      <c r="AA25" s="126" t="str">
        <f t="shared" si="24"/>
        <v/>
      </c>
      <c r="AB25" s="124" t="str">
        <f t="shared" si="25"/>
        <v/>
      </c>
      <c r="AC25" s="127" t="str">
        <f t="shared" ref="AC25:AC26" si="26">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3"/>
      <c r="AE25" s="134"/>
      <c r="AF25" s="135"/>
      <c r="AG25" s="128"/>
      <c r="AH25" s="128"/>
      <c r="AI25" s="134"/>
      <c r="AJ25" s="135"/>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ht="12.75" customHeight="1" x14ac:dyDescent="0.2">
      <c r="A26" s="201"/>
      <c r="B26" s="202"/>
      <c r="C26" s="205"/>
      <c r="D26" s="205"/>
      <c r="E26" s="205"/>
      <c r="F26" s="202"/>
      <c r="G26" s="208"/>
      <c r="H26" s="198"/>
      <c r="I26" s="197"/>
      <c r="J26" s="196"/>
      <c r="K26" s="197">
        <f t="shared" ca="1" si="0"/>
        <v>0</v>
      </c>
      <c r="L26" s="198"/>
      <c r="M26" s="197"/>
      <c r="N26" s="199"/>
      <c r="O26" s="133">
        <v>6</v>
      </c>
      <c r="P26" s="121"/>
      <c r="Q26" s="122" t="str">
        <f t="shared" si="20"/>
        <v/>
      </c>
      <c r="R26" s="123"/>
      <c r="S26" s="123"/>
      <c r="T26" s="124" t="str">
        <f t="shared" si="19"/>
        <v/>
      </c>
      <c r="U26" s="123"/>
      <c r="V26" s="123"/>
      <c r="W26" s="123"/>
      <c r="X26" s="125" t="str">
        <f t="shared" si="21"/>
        <v/>
      </c>
      <c r="Y26" s="126" t="str">
        <f t="shared" ref="Y26" si="27">IFERROR(IF(X26="","",IF(X26&lt;=0.2,"Muy Baja",IF(X26&lt;=0.4,"Baja",IF(X26&lt;=0.6,"Media",IF(X26&lt;=0.8,"Alta","Muy Alta"))))),"")</f>
        <v/>
      </c>
      <c r="Z26" s="124" t="str">
        <f t="shared" si="23"/>
        <v/>
      </c>
      <c r="AA26" s="126" t="str">
        <f t="shared" si="24"/>
        <v/>
      </c>
      <c r="AB26" s="124" t="str">
        <f t="shared" si="25"/>
        <v/>
      </c>
      <c r="AC26" s="127" t="str">
        <f t="shared" si="26"/>
        <v/>
      </c>
      <c r="AD26" s="123"/>
      <c r="AE26" s="134"/>
      <c r="AF26" s="135"/>
      <c r="AG26" s="128"/>
      <c r="AH26" s="128"/>
      <c r="AI26" s="134"/>
      <c r="AJ26" s="135"/>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ht="60" customHeight="1" x14ac:dyDescent="0.2">
      <c r="A27" s="201">
        <v>4</v>
      </c>
      <c r="B27" s="202" t="s">
        <v>126</v>
      </c>
      <c r="C27" s="203" t="s">
        <v>231</v>
      </c>
      <c r="D27" s="203" t="s">
        <v>232</v>
      </c>
      <c r="E27" s="203" t="s">
        <v>233</v>
      </c>
      <c r="F27" s="202" t="s">
        <v>119</v>
      </c>
      <c r="G27" s="208">
        <v>108</v>
      </c>
      <c r="H27" s="198" t="str">
        <f>IF(G27&lt;=0,"",IF(G27&lt;=2,"Muy Baja",IF(G27&lt;=24,"Baja",IF(G27&lt;=500,"Media",IF(G27&lt;=5000,"Alta","Muy Alta")))))</f>
        <v>Media</v>
      </c>
      <c r="I27" s="197">
        <f>IF(H27="","",IF(H27="Muy Baja",0.2,IF(H27="Baja",0.4,IF(H27="Media",0.6,IF(H27="Alta",0.8,IF(H27="Muy Alta",1,))))))</f>
        <v>0.6</v>
      </c>
      <c r="J27" s="196" t="s">
        <v>145</v>
      </c>
      <c r="K27" s="197" t="str">
        <f>IF(NOT(ISERROR(MATCH(J27,'Tabla Impacto'!$B$221:$B$223,0))),'Tabla Impacto'!$F$223&amp;"Por favor no seleccionar los criterios de impacto(Afectación Económica o presupuestal y Pérdida Reputacional)",J27)</f>
        <v xml:space="preserve">     El riesgo afecta la imagen de alguna área de la organización</v>
      </c>
      <c r="L27" s="198" t="str">
        <f>IF(OR(K27='Tabla Impacto'!$C$11,K27='Tabla Impacto'!$D$11),"Leve",IF(OR(K27='Tabla Impacto'!$C$12,K27='Tabla Impacto'!$D$12),"Menor",IF(OR(K27='Tabla Impacto'!$C$13,K27='Tabla Impacto'!$D$13),"Moderado",IF(OR(K27='Tabla Impacto'!$C$14,K27='Tabla Impacto'!$D$14),"Mayor",IF(OR(K27='Tabla Impacto'!$C$15,K27='Tabla Impacto'!$D$15),"Catastrófico","")))))</f>
        <v>Leve</v>
      </c>
      <c r="M27" s="197">
        <f>IF(L27="","",IF(L27="Leve",0.2,IF(L27="Menor",0.4,IF(L27="Moderado",0.6,IF(L27="Mayor",0.8,IF(L27="Catastrófico",1,))))))</f>
        <v>0.2</v>
      </c>
      <c r="N27" s="199"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Moderado</v>
      </c>
      <c r="O27" s="133">
        <v>1</v>
      </c>
      <c r="P27" s="141" t="s">
        <v>234</v>
      </c>
      <c r="Q27" s="122" t="str">
        <f>IF(OR(R27="Preventivo",R27="Detectivo"),"Probabilidad",IF(R27="Correctivo","Impacto",""))</f>
        <v>Probabilidad</v>
      </c>
      <c r="R27" s="123" t="s">
        <v>14</v>
      </c>
      <c r="S27" s="123" t="s">
        <v>9</v>
      </c>
      <c r="T27" s="124" t="str">
        <f>IF(AND(R27="Preventivo",S27="Automático"),"50%",IF(AND(R27="Preventivo",S27="Manual"),"40%",IF(AND(R27="Detectivo",S27="Automático"),"40%",IF(AND(R27="Detectivo",S27="Manual"),"30%",IF(AND(R27="Correctivo",S27="Automático"),"35%",IF(AND(R27="Correctivo",S27="Manual"),"25%",""))))))</f>
        <v>40%</v>
      </c>
      <c r="U27" s="123" t="s">
        <v>19</v>
      </c>
      <c r="V27" s="123" t="s">
        <v>22</v>
      </c>
      <c r="W27" s="123" t="s">
        <v>116</v>
      </c>
      <c r="X27" s="125">
        <f>IFERROR(IF(Q27="Probabilidad",(I27-(+I27*T27)),IF(Q27="Impacto",I27,"")),"")</f>
        <v>0.36</v>
      </c>
      <c r="Y27" s="126" t="str">
        <f>IFERROR(IF(X27="","",IF(X27&lt;=0.2,"Muy Baja",IF(X27&lt;=0.4,"Baja",IF(X27&lt;=0.6,"Media",IF(X27&lt;=0.8,"Alta","Muy Alta"))))),"")</f>
        <v>Baja</v>
      </c>
      <c r="Z27" s="124">
        <f>+X27</f>
        <v>0.36</v>
      </c>
      <c r="AA27" s="126" t="str">
        <f>IFERROR(IF(AB27="","",IF(AB27&lt;=0.2,"Leve",IF(AB27&lt;=0.4,"Menor",IF(AB27&lt;=0.6,"Moderado",IF(AB27&lt;=0.8,"Mayor","Catastrófico"))))),"")</f>
        <v>Menor</v>
      </c>
      <c r="AB27" s="124">
        <v>0.4</v>
      </c>
      <c r="AC27" s="127"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Moderado</v>
      </c>
      <c r="AD27" s="123" t="s">
        <v>31</v>
      </c>
      <c r="AE27" s="121"/>
      <c r="AF27" s="134"/>
      <c r="AG27" s="132"/>
      <c r="AH27" s="128"/>
      <c r="AI27" s="134"/>
      <c r="AJ27" s="129"/>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ht="100.5" customHeight="1" x14ac:dyDescent="0.2">
      <c r="A28" s="201"/>
      <c r="B28" s="202"/>
      <c r="C28" s="206"/>
      <c r="D28" s="204"/>
      <c r="E28" s="204"/>
      <c r="F28" s="202"/>
      <c r="G28" s="208"/>
      <c r="H28" s="198"/>
      <c r="I28" s="197"/>
      <c r="J28" s="196"/>
      <c r="K28" s="197">
        <f ca="1">IF(NOT(ISERROR(MATCH(J28,_xlfn.ANCHORARRAY(E39),0))),I41&amp;"Por favor no seleccionar los criterios de impacto",J28)</f>
        <v>0</v>
      </c>
      <c r="L28" s="198"/>
      <c r="M28" s="197"/>
      <c r="N28" s="199"/>
      <c r="O28" s="133">
        <v>2</v>
      </c>
      <c r="P28" s="141" t="s">
        <v>235</v>
      </c>
      <c r="Q28" s="122" t="str">
        <f>IF(OR(R28="Preventivo",R28="Detectivo"),"Probabilidad",IF(R28="Correctivo","Impacto",""))</f>
        <v>Probabilidad</v>
      </c>
      <c r="R28" s="123" t="s">
        <v>14</v>
      </c>
      <c r="S28" s="123" t="s">
        <v>9</v>
      </c>
      <c r="T28" s="124" t="str">
        <f t="shared" ref="T28:T32" si="28">IF(AND(R28="Preventivo",S28="Automático"),"50%",IF(AND(R28="Preventivo",S28="Manual"),"40%",IF(AND(R28="Detectivo",S28="Automático"),"40%",IF(AND(R28="Detectivo",S28="Manual"),"30%",IF(AND(R28="Correctivo",S28="Automático"),"35%",IF(AND(R28="Correctivo",S28="Manual"),"25%",""))))))</f>
        <v>40%</v>
      </c>
      <c r="U28" s="123" t="s">
        <v>19</v>
      </c>
      <c r="V28" s="123" t="s">
        <v>22</v>
      </c>
      <c r="W28" s="149" t="s">
        <v>115</v>
      </c>
      <c r="X28" s="125">
        <f>IFERROR(IF(AND(Q27="Probabilidad",Q28="Probabilidad"),(Z27-(+Z27*T28)),IF(Q28="Probabilidad",(I27-(+I27*T28)),IF(Q28="Impacto",Z27,""))),"")</f>
        <v>0.216</v>
      </c>
      <c r="Y28" s="126" t="str">
        <f t="shared" ref="Y28:Y30" si="29">IFERROR(IF(X28="","",IF(X28&lt;=0.2,"Muy Baja",IF(X28&lt;=0.4,"Baja",IF(X28&lt;=0.6,"Media",IF(X28&lt;=0.8,"Alta","Muy Alta"))))),"")</f>
        <v>Baja</v>
      </c>
      <c r="Z28" s="124">
        <f t="shared" ref="Z28:Z32" si="30">+X28</f>
        <v>0.216</v>
      </c>
      <c r="AA28" s="126" t="str">
        <f t="shared" ref="AA28:AA32" si="31">IFERROR(IF(AB28="","",IF(AB28&lt;=0.2,"Leve",IF(AB28&lt;=0.4,"Menor",IF(AB28&lt;=0.6,"Moderado",IF(AB28&lt;=0.8,"Mayor","Catastrófico"))))),"")</f>
        <v>Menor</v>
      </c>
      <c r="AB28" s="124">
        <f>IFERROR(IF(AND(Q27="Impacto",Q28="Impacto"),(AB21-(+AB21*T28)),IF(Q28="Impacto",($M$16-(+$M$16*T28)),IF(Q28="Probabilidad",AB27,""))),"")</f>
        <v>0.4</v>
      </c>
      <c r="AC28" s="127" t="str">
        <f t="shared" ref="AC28:AC29" si="32">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Moderado</v>
      </c>
      <c r="AD28" s="123" t="s">
        <v>31</v>
      </c>
      <c r="AE28" s="121"/>
      <c r="AF28" s="134"/>
      <c r="AG28" s="128"/>
      <c r="AH28" s="128"/>
      <c r="AI28" s="134"/>
      <c r="AJ28" s="129"/>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ht="58.5" customHeight="1" x14ac:dyDescent="0.2">
      <c r="A29" s="201"/>
      <c r="B29" s="202"/>
      <c r="C29" s="206"/>
      <c r="D29" s="204"/>
      <c r="E29" s="204"/>
      <c r="F29" s="202"/>
      <c r="G29" s="208"/>
      <c r="H29" s="198"/>
      <c r="I29" s="197"/>
      <c r="J29" s="196"/>
      <c r="K29" s="197">
        <f ca="1">IF(NOT(ISERROR(MATCH(J29,_xlfn.ANCHORARRAY(E40),0))),I42&amp;"Por favor no seleccionar los criterios de impacto",J29)</f>
        <v>0</v>
      </c>
      <c r="L29" s="198"/>
      <c r="M29" s="197"/>
      <c r="N29" s="199"/>
      <c r="O29" s="133">
        <v>3</v>
      </c>
      <c r="P29" s="141" t="s">
        <v>236</v>
      </c>
      <c r="Q29" s="122" t="str">
        <f>IF(OR(R29="Preventivo",R29="Detectivo"),"Probabilidad",IF(R29="Correctivo","Impacto",""))</f>
        <v>Probabilidad</v>
      </c>
      <c r="R29" s="123" t="s">
        <v>14</v>
      </c>
      <c r="S29" s="123" t="s">
        <v>9</v>
      </c>
      <c r="T29" s="124" t="str">
        <f t="shared" si="28"/>
        <v>40%</v>
      </c>
      <c r="U29" s="123" t="s">
        <v>19</v>
      </c>
      <c r="V29" s="123" t="s">
        <v>22</v>
      </c>
      <c r="W29" s="149" t="s">
        <v>115</v>
      </c>
      <c r="X29" s="125">
        <v>0.13</v>
      </c>
      <c r="Y29" s="126" t="str">
        <f t="shared" si="29"/>
        <v>Muy Baja</v>
      </c>
      <c r="Z29" s="124">
        <v>0.12</v>
      </c>
      <c r="AA29" s="126" t="str">
        <f t="shared" si="31"/>
        <v>Menor</v>
      </c>
      <c r="AB29" s="124">
        <v>0.3</v>
      </c>
      <c r="AC29" s="127" t="str">
        <f t="shared" si="32"/>
        <v>Bajo</v>
      </c>
      <c r="AD29" s="123" t="s">
        <v>31</v>
      </c>
      <c r="AE29" s="130"/>
      <c r="AF29" s="134"/>
      <c r="AG29" s="128"/>
      <c r="AH29" s="128"/>
      <c r="AI29" s="134"/>
      <c r="AJ29" s="129"/>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201"/>
      <c r="B30" s="202"/>
      <c r="C30" s="206"/>
      <c r="D30" s="204"/>
      <c r="E30" s="204"/>
      <c r="F30" s="202"/>
      <c r="G30" s="208"/>
      <c r="H30" s="198"/>
      <c r="I30" s="197"/>
      <c r="J30" s="196"/>
      <c r="K30" s="197">
        <f ca="1">IF(NOT(ISERROR(MATCH(J30,_xlfn.ANCHORARRAY(E41),0))),I43&amp;"Por favor no seleccionar los criterios de impacto",J30)</f>
        <v>0</v>
      </c>
      <c r="L30" s="198"/>
      <c r="M30" s="197"/>
      <c r="N30" s="199"/>
      <c r="O30" s="133">
        <v>4</v>
      </c>
      <c r="P30" s="121"/>
      <c r="Q30" s="122" t="str">
        <f t="shared" ref="Q30:Q32" si="33">IF(OR(R30="Preventivo",R30="Detectivo"),"Probabilidad",IF(R30="Correctivo","Impacto",""))</f>
        <v/>
      </c>
      <c r="R30" s="123"/>
      <c r="S30" s="123"/>
      <c r="T30" s="124" t="str">
        <f t="shared" si="28"/>
        <v/>
      </c>
      <c r="U30" s="123"/>
      <c r="V30" s="123"/>
      <c r="W30" s="123"/>
      <c r="X30" s="125" t="str">
        <f t="shared" ref="X30:X32" si="34">IFERROR(IF(AND(Q29="Probabilidad",Q30="Probabilidad"),(Z29-(+Z29*T30)),IF(AND(Q29="Impacto",Q30="Probabilidad"),(Z28-(+Z28*T30)),IF(Q30="Impacto",Z29,""))),"")</f>
        <v/>
      </c>
      <c r="Y30" s="126" t="str">
        <f t="shared" si="29"/>
        <v/>
      </c>
      <c r="Z30" s="124" t="str">
        <f t="shared" si="30"/>
        <v/>
      </c>
      <c r="AA30" s="126" t="str">
        <f t="shared" si="31"/>
        <v/>
      </c>
      <c r="AB30" s="124" t="str">
        <f t="shared" ref="AB30:AB32" si="35">IFERROR(IF(AND(Q29="Impacto",Q30="Impacto"),(AB29-(+AB29*T30)),IF(AND(Q29="Probabilidad",Q30="Impacto"),(AB28-(+AB28*T30)),IF(Q30="Probabilidad",AB29,""))),"")</f>
        <v/>
      </c>
      <c r="AC30" s="127"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3"/>
      <c r="AE30" s="121"/>
      <c r="AF30" s="134"/>
      <c r="AG30" s="128"/>
      <c r="AH30" s="128"/>
      <c r="AI30" s="134"/>
      <c r="AJ30" s="129"/>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201"/>
      <c r="B31" s="202"/>
      <c r="C31" s="206"/>
      <c r="D31" s="204"/>
      <c r="E31" s="204"/>
      <c r="F31" s="202"/>
      <c r="G31" s="208"/>
      <c r="H31" s="198"/>
      <c r="I31" s="197"/>
      <c r="J31" s="196"/>
      <c r="K31" s="197">
        <f ca="1">IF(NOT(ISERROR(MATCH(J31,_xlfn.ANCHORARRAY(E42),0))),I44&amp;"Por favor no seleccionar los criterios de impacto",J31)</f>
        <v>0</v>
      </c>
      <c r="L31" s="198"/>
      <c r="M31" s="197"/>
      <c r="N31" s="199"/>
      <c r="O31" s="133">
        <v>5</v>
      </c>
      <c r="P31" s="121"/>
      <c r="Q31" s="122" t="str">
        <f t="shared" si="33"/>
        <v/>
      </c>
      <c r="R31" s="123"/>
      <c r="S31" s="123"/>
      <c r="T31" s="124" t="str">
        <f t="shared" si="28"/>
        <v/>
      </c>
      <c r="U31" s="123"/>
      <c r="V31" s="123"/>
      <c r="W31" s="123"/>
      <c r="X31" s="131" t="str">
        <f t="shared" si="34"/>
        <v/>
      </c>
      <c r="Y31" s="126" t="str">
        <f>IFERROR(IF(X31="","",IF(X31&lt;=0.2,"Muy Baja",IF(X31&lt;=0.4,"Baja",IF(X31&lt;=0.6,"Media",IF(X31&lt;=0.8,"Alta","Muy Alta"))))),"")</f>
        <v/>
      </c>
      <c r="Z31" s="124" t="str">
        <f t="shared" si="30"/>
        <v/>
      </c>
      <c r="AA31" s="126" t="str">
        <f t="shared" si="31"/>
        <v/>
      </c>
      <c r="AB31" s="124" t="str">
        <f t="shared" si="35"/>
        <v/>
      </c>
      <c r="AC31" s="127" t="str">
        <f t="shared" ref="AC31:AC32" si="36">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3"/>
      <c r="AE31" s="121"/>
      <c r="AF31" s="134"/>
      <c r="AG31" s="128"/>
      <c r="AH31" s="128"/>
      <c r="AI31" s="134"/>
      <c r="AJ31" s="129"/>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201"/>
      <c r="B32" s="202"/>
      <c r="C32" s="207"/>
      <c r="D32" s="205"/>
      <c r="E32" s="205"/>
      <c r="F32" s="202"/>
      <c r="G32" s="208"/>
      <c r="H32" s="198"/>
      <c r="I32" s="197"/>
      <c r="J32" s="196"/>
      <c r="K32" s="197">
        <f ca="1">IF(NOT(ISERROR(MATCH(J32,_xlfn.ANCHORARRAY(E43),0))),I45&amp;"Por favor no seleccionar los criterios de impacto",J32)</f>
        <v>0</v>
      </c>
      <c r="L32" s="198"/>
      <c r="M32" s="197"/>
      <c r="N32" s="199"/>
      <c r="O32" s="133">
        <v>6</v>
      </c>
      <c r="P32" s="121"/>
      <c r="Q32" s="122" t="str">
        <f t="shared" si="33"/>
        <v/>
      </c>
      <c r="R32" s="123"/>
      <c r="S32" s="123"/>
      <c r="T32" s="124" t="str">
        <f t="shared" si="28"/>
        <v/>
      </c>
      <c r="U32" s="123"/>
      <c r="V32" s="123"/>
      <c r="W32" s="123"/>
      <c r="X32" s="125" t="str">
        <f t="shared" si="34"/>
        <v/>
      </c>
      <c r="Y32" s="126" t="str">
        <f t="shared" ref="Y32" si="37">IFERROR(IF(X32="","",IF(X32&lt;=0.2,"Muy Baja",IF(X32&lt;=0.4,"Baja",IF(X32&lt;=0.6,"Media",IF(X32&lt;=0.8,"Alta","Muy Alta"))))),"")</f>
        <v/>
      </c>
      <c r="Z32" s="124" t="str">
        <f t="shared" si="30"/>
        <v/>
      </c>
      <c r="AA32" s="126" t="str">
        <f t="shared" si="31"/>
        <v/>
      </c>
      <c r="AB32" s="124" t="str">
        <f t="shared" si="35"/>
        <v/>
      </c>
      <c r="AC32" s="127" t="str">
        <f t="shared" si="36"/>
        <v/>
      </c>
      <c r="AD32" s="123"/>
      <c r="AE32" s="134"/>
      <c r="AF32" s="135"/>
      <c r="AG32" s="128"/>
      <c r="AH32" s="128"/>
      <c r="AI32" s="134"/>
      <c r="AJ32" s="135"/>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ht="41.25" customHeight="1" x14ac:dyDescent="0.2">
      <c r="A33" s="201">
        <v>5</v>
      </c>
      <c r="B33" s="202" t="s">
        <v>128</v>
      </c>
      <c r="C33" s="203" t="s">
        <v>237</v>
      </c>
      <c r="D33" s="203" t="s">
        <v>238</v>
      </c>
      <c r="E33" s="203" t="s">
        <v>239</v>
      </c>
      <c r="F33" s="202" t="s">
        <v>119</v>
      </c>
      <c r="G33" s="208">
        <v>1</v>
      </c>
      <c r="H33" s="198" t="str">
        <f>IF(G33&lt;=0,"",IF(G33&lt;=2,"Muy Baja",IF(G33&lt;=24,"Baja",IF(G33&lt;=500,"Media",IF(G33&lt;=5000,"Alta","Muy Alta")))))</f>
        <v>Muy Baja</v>
      </c>
      <c r="I33" s="197">
        <f>IF(H33="","",IF(H33="Muy Baja",0.2,IF(H33="Baja",0.4,IF(H33="Media",0.6,IF(H33="Alta",0.8,IF(H33="Muy Alta",1,))))))</f>
        <v>0.2</v>
      </c>
      <c r="J33" s="196" t="s">
        <v>138</v>
      </c>
      <c r="K33" s="197" t="str">
        <f>IF(NOT(ISERROR(MATCH(J33,'Tabla Impacto'!$B$221:$B$223,0))),'Tabla Impacto'!$F$223&amp;"Por favor no seleccionar los criterios de impacto(Afectación Económica o presupuestal y Pérdida Reputacional)",J33)</f>
        <v xml:space="preserve">     Afectación menor a 10 SMLMV .</v>
      </c>
      <c r="L33" s="198" t="str">
        <f>IF(OR(K33='Tabla Impacto'!$C$11,K33='Tabla Impacto'!$D$11),"Leve",IF(OR(K33='Tabla Impacto'!$C$12,K33='Tabla Impacto'!$D$12),"Menor",IF(OR(K33='Tabla Impacto'!$C$13,K33='Tabla Impacto'!$D$13),"Moderado",IF(OR(K33='Tabla Impacto'!$C$14,K33='Tabla Impacto'!$D$14),"Mayor",IF(OR(K33='Tabla Impacto'!$C$15,K33='Tabla Impacto'!$D$15),"Catastrófico","")))))</f>
        <v>Leve</v>
      </c>
      <c r="M33" s="197">
        <f>IF(L33="","",IF(L33="Leve",0.2,IF(L33="Menor",0.4,IF(L33="Moderado",0.6,IF(L33="Mayor",0.8,IF(L33="Catastrófico",1,))))))</f>
        <v>0.2</v>
      </c>
      <c r="N33" s="199"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Bajo</v>
      </c>
      <c r="O33" s="133">
        <v>1</v>
      </c>
      <c r="P33" s="143" t="s">
        <v>240</v>
      </c>
      <c r="Q33" s="122" t="str">
        <f>IF(OR(R33="Preventivo",R33="Detectivo"),"Probabilidad",IF(R33="Correctivo","Impacto",""))</f>
        <v>Probabilidad</v>
      </c>
      <c r="R33" s="123" t="s">
        <v>14</v>
      </c>
      <c r="S33" s="123" t="s">
        <v>9</v>
      </c>
      <c r="T33" s="124" t="str">
        <f>IF(AND(R33="Preventivo",S33="Automático"),"50%",IF(AND(R33="Preventivo",S33="Manual"),"40%",IF(AND(R33="Detectivo",S33="Automático"),"40%",IF(AND(R33="Detectivo",S33="Manual"),"30%",IF(AND(R33="Correctivo",S33="Automático"),"35%",IF(AND(R33="Correctivo",S33="Manual"),"25%",""))))))</f>
        <v>40%</v>
      </c>
      <c r="U33" s="123" t="s">
        <v>19</v>
      </c>
      <c r="V33" s="123" t="s">
        <v>22</v>
      </c>
      <c r="W33" s="149" t="s">
        <v>115</v>
      </c>
      <c r="X33" s="125">
        <v>0.2</v>
      </c>
      <c r="Y33" s="126" t="str">
        <f>IFERROR(IF(X33="","",IF(X33&lt;=0.2,"Muy Baja",IF(X33&lt;=0.4,"Baja",IF(X33&lt;=0.6,"Media",IF(X33&lt;=0.8,"Alta","Muy Alta"))))),"")</f>
        <v>Muy Baja</v>
      </c>
      <c r="Z33" s="124">
        <f>+X33</f>
        <v>0.2</v>
      </c>
      <c r="AA33" s="126" t="str">
        <f>IFERROR(IF(AB33="","",IF(AB33&lt;=0.2,"Leve",IF(AB33&lt;=0.4,"Menor",IF(AB33&lt;=0.6,"Moderado",IF(AB33&lt;=0.8,"Mayor","Catastrófico"))))),"")</f>
        <v>Leve</v>
      </c>
      <c r="AB33" s="124">
        <f>IFERROR(IF(Q33="Impacto",(M33-(+M33*T33)),IF(Q33="Probabilidad",M33,"")),"")</f>
        <v>0.2</v>
      </c>
      <c r="AC33" s="127"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Bajo</v>
      </c>
      <c r="AD33" s="123" t="s">
        <v>31</v>
      </c>
      <c r="AE33" s="134"/>
      <c r="AF33" s="134"/>
      <c r="AG33" s="128"/>
      <c r="AH33" s="128"/>
      <c r="AI33" s="134"/>
      <c r="AJ33" s="135"/>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ht="12.75" customHeight="1" x14ac:dyDescent="0.2">
      <c r="A34" s="201"/>
      <c r="B34" s="202"/>
      <c r="C34" s="204"/>
      <c r="D34" s="204"/>
      <c r="E34" s="204"/>
      <c r="F34" s="202"/>
      <c r="G34" s="208"/>
      <c r="H34" s="198"/>
      <c r="I34" s="197"/>
      <c r="J34" s="196"/>
      <c r="K34" s="197">
        <f ca="1">IF(NOT(ISERROR(MATCH(J34,_xlfn.ANCHORARRAY(E45),0))),I47&amp;"Por favor no seleccionar los criterios de impacto",J34)</f>
        <v>0</v>
      </c>
      <c r="L34" s="198"/>
      <c r="M34" s="197"/>
      <c r="N34" s="199"/>
      <c r="O34" s="133">
        <v>2</v>
      </c>
      <c r="P34" s="121"/>
      <c r="Q34" s="122" t="str">
        <f>IF(OR(R34="Preventivo",R34="Detectivo"),"Probabilidad",IF(R34="Correctivo","Impacto",""))</f>
        <v/>
      </c>
      <c r="R34" s="123"/>
      <c r="S34" s="123"/>
      <c r="T34" s="124" t="str">
        <f t="shared" ref="T34:T38" si="38">IF(AND(R34="Preventivo",S34="Automático"),"50%",IF(AND(R34="Preventivo",S34="Manual"),"40%",IF(AND(R34="Detectivo",S34="Automático"),"40%",IF(AND(R34="Detectivo",S34="Manual"),"30%",IF(AND(R34="Correctivo",S34="Automático"),"35%",IF(AND(R34="Correctivo",S34="Manual"),"25%",""))))))</f>
        <v/>
      </c>
      <c r="U34" s="123"/>
      <c r="V34" s="123"/>
      <c r="W34" s="123"/>
      <c r="X34" s="125" t="str">
        <f>IFERROR(IF(AND(Q33="Probabilidad",Q34="Probabilidad"),(Z33-(+Z33*T34)),IF(Q34="Probabilidad",(I33-(+I33*T34)),IF(Q34="Impacto",Z33,""))),"")</f>
        <v/>
      </c>
      <c r="Y34" s="126" t="str">
        <f t="shared" ref="Y34:Y36" si="39">IFERROR(IF(X34="","",IF(X34&lt;=0.2,"Muy Baja",IF(X34&lt;=0.4,"Baja",IF(X34&lt;=0.6,"Media",IF(X34&lt;=0.8,"Alta","Muy Alta"))))),"")</f>
        <v/>
      </c>
      <c r="Z34" s="124" t="str">
        <f t="shared" ref="Z34:Z38" si="40">+X34</f>
        <v/>
      </c>
      <c r="AA34" s="126" t="str">
        <f t="shared" ref="AA34:AA38" si="41">IFERROR(IF(AB34="","",IF(AB34&lt;=0.2,"Leve",IF(AB34&lt;=0.4,"Menor",IF(AB34&lt;=0.6,"Moderado",IF(AB34&lt;=0.8,"Mayor","Catastrófico"))))),"")</f>
        <v/>
      </c>
      <c r="AB34" s="124" t="str">
        <f>IFERROR(IF(AND(Q33="Impacto",Q34="Impacto"),(AB27-(+AB27*T34)),IF(Q34="Impacto",($M$16-(+$M$16*T34)),IF(Q34="Probabilidad",AB33,""))),"")</f>
        <v/>
      </c>
      <c r="AC34" s="127" t="str">
        <f t="shared" ref="AC34:AC35" si="4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3"/>
      <c r="AE34" s="134"/>
      <c r="AF34" s="135"/>
      <c r="AG34" s="128"/>
      <c r="AH34" s="128"/>
      <c r="AI34" s="134"/>
      <c r="AJ34" s="135"/>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ht="12.75" customHeight="1" x14ac:dyDescent="0.2">
      <c r="A35" s="201"/>
      <c r="B35" s="202"/>
      <c r="C35" s="204"/>
      <c r="D35" s="204"/>
      <c r="E35" s="204"/>
      <c r="F35" s="202"/>
      <c r="G35" s="208"/>
      <c r="H35" s="198"/>
      <c r="I35" s="197"/>
      <c r="J35" s="196"/>
      <c r="K35" s="197">
        <f ca="1">IF(NOT(ISERROR(MATCH(J35,_xlfn.ANCHORARRAY(E46),0))),I48&amp;"Por favor no seleccionar los criterios de impacto",J35)</f>
        <v>0</v>
      </c>
      <c r="L35" s="198"/>
      <c r="M35" s="197"/>
      <c r="N35" s="199"/>
      <c r="O35" s="133">
        <v>3</v>
      </c>
      <c r="P35" s="121"/>
      <c r="Q35" s="122" t="str">
        <f>IF(OR(R35="Preventivo",R35="Detectivo"),"Probabilidad",IF(R35="Correctivo","Impacto",""))</f>
        <v/>
      </c>
      <c r="R35" s="123"/>
      <c r="S35" s="123"/>
      <c r="T35" s="124" t="str">
        <f t="shared" si="38"/>
        <v/>
      </c>
      <c r="U35" s="123"/>
      <c r="V35" s="123"/>
      <c r="W35" s="123"/>
      <c r="X35" s="125" t="str">
        <f>IFERROR(IF(AND(Q34="Probabilidad",Q35="Probabilidad"),(Z34-(+Z34*T35)),IF(AND(Q34="Impacto",Q35="Probabilidad"),(Z33-(+Z33*T35)),IF(Q35="Impacto",Z34,""))),"")</f>
        <v/>
      </c>
      <c r="Y35" s="126" t="str">
        <f t="shared" si="39"/>
        <v/>
      </c>
      <c r="Z35" s="124" t="str">
        <f t="shared" si="40"/>
        <v/>
      </c>
      <c r="AA35" s="126" t="str">
        <f t="shared" si="41"/>
        <v/>
      </c>
      <c r="AB35" s="124" t="str">
        <f>IFERROR(IF(AND(Q34="Impacto",Q35="Impacto"),(AB34-(+AB34*T35)),IF(AND(Q34="Probabilidad",Q35="Impacto"),(AB33-(+AB33*T35)),IF(Q35="Probabilidad",AB34,""))),"")</f>
        <v/>
      </c>
      <c r="AC35" s="127" t="str">
        <f t="shared" si="42"/>
        <v/>
      </c>
      <c r="AD35" s="123"/>
      <c r="AE35" s="134"/>
      <c r="AF35" s="135"/>
      <c r="AG35" s="128"/>
      <c r="AH35" s="128"/>
      <c r="AI35" s="134"/>
      <c r="AJ35" s="135"/>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ht="12.75" customHeight="1" x14ac:dyDescent="0.2">
      <c r="A36" s="201"/>
      <c r="B36" s="202"/>
      <c r="C36" s="204"/>
      <c r="D36" s="204"/>
      <c r="E36" s="204"/>
      <c r="F36" s="202"/>
      <c r="G36" s="208"/>
      <c r="H36" s="198"/>
      <c r="I36" s="197"/>
      <c r="J36" s="196"/>
      <c r="K36" s="197">
        <f ca="1">IF(NOT(ISERROR(MATCH(J36,_xlfn.ANCHORARRAY(E47),0))),I49&amp;"Por favor no seleccionar los criterios de impacto",J36)</f>
        <v>0</v>
      </c>
      <c r="L36" s="198"/>
      <c r="M36" s="197"/>
      <c r="N36" s="199"/>
      <c r="O36" s="133">
        <v>4</v>
      </c>
      <c r="P36" s="121"/>
      <c r="Q36" s="122" t="str">
        <f t="shared" ref="Q36:Q38" si="43">IF(OR(R36="Preventivo",R36="Detectivo"),"Probabilidad",IF(R36="Correctivo","Impacto",""))</f>
        <v/>
      </c>
      <c r="R36" s="123"/>
      <c r="S36" s="123"/>
      <c r="T36" s="124" t="str">
        <f t="shared" si="38"/>
        <v/>
      </c>
      <c r="U36" s="123"/>
      <c r="V36" s="123"/>
      <c r="W36" s="123"/>
      <c r="X36" s="125" t="str">
        <f t="shared" ref="X36:X38" si="44">IFERROR(IF(AND(Q35="Probabilidad",Q36="Probabilidad"),(Z35-(+Z35*T36)),IF(AND(Q35="Impacto",Q36="Probabilidad"),(Z34-(+Z34*T36)),IF(Q36="Impacto",Z35,""))),"")</f>
        <v/>
      </c>
      <c r="Y36" s="126" t="str">
        <f t="shared" si="39"/>
        <v/>
      </c>
      <c r="Z36" s="124" t="str">
        <f t="shared" si="40"/>
        <v/>
      </c>
      <c r="AA36" s="126" t="str">
        <f t="shared" si="41"/>
        <v/>
      </c>
      <c r="AB36" s="124" t="str">
        <f t="shared" ref="AB36:AB38" si="45">IFERROR(IF(AND(Q35="Impacto",Q36="Impacto"),(AB35-(+AB35*T36)),IF(AND(Q35="Probabilidad",Q36="Impacto"),(AB34-(+AB34*T36)),IF(Q36="Probabilidad",AB35,""))),"")</f>
        <v/>
      </c>
      <c r="AC36" s="127"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3"/>
      <c r="AE36" s="134"/>
      <c r="AF36" s="135"/>
      <c r="AG36" s="128"/>
      <c r="AH36" s="128"/>
      <c r="AI36" s="134"/>
      <c r="AJ36" s="135"/>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ht="12.75" customHeight="1" x14ac:dyDescent="0.2">
      <c r="A37" s="201"/>
      <c r="B37" s="202"/>
      <c r="C37" s="204"/>
      <c r="D37" s="204"/>
      <c r="E37" s="204"/>
      <c r="F37" s="202"/>
      <c r="G37" s="208"/>
      <c r="H37" s="198"/>
      <c r="I37" s="197"/>
      <c r="J37" s="196"/>
      <c r="K37" s="197">
        <f ca="1">IF(NOT(ISERROR(MATCH(J37,_xlfn.ANCHORARRAY(E48),0))),I50&amp;"Por favor no seleccionar los criterios de impacto",J37)</f>
        <v>0</v>
      </c>
      <c r="L37" s="198"/>
      <c r="M37" s="197"/>
      <c r="N37" s="199"/>
      <c r="O37" s="133">
        <v>5</v>
      </c>
      <c r="P37" s="121"/>
      <c r="Q37" s="122" t="str">
        <f t="shared" si="43"/>
        <v/>
      </c>
      <c r="R37" s="123"/>
      <c r="S37" s="123"/>
      <c r="T37" s="124" t="str">
        <f t="shared" si="38"/>
        <v/>
      </c>
      <c r="U37" s="123"/>
      <c r="V37" s="123"/>
      <c r="W37" s="123"/>
      <c r="X37" s="131" t="str">
        <f t="shared" si="44"/>
        <v/>
      </c>
      <c r="Y37" s="126" t="str">
        <f>IFERROR(IF(X37="","",IF(X37&lt;=0.2,"Muy Baja",IF(X37&lt;=0.4,"Baja",IF(X37&lt;=0.6,"Media",IF(X37&lt;=0.8,"Alta","Muy Alta"))))),"")</f>
        <v/>
      </c>
      <c r="Z37" s="124" t="str">
        <f t="shared" si="40"/>
        <v/>
      </c>
      <c r="AA37" s="126" t="str">
        <f t="shared" si="41"/>
        <v/>
      </c>
      <c r="AB37" s="124" t="str">
        <f t="shared" si="45"/>
        <v/>
      </c>
      <c r="AC37" s="127" t="str">
        <f t="shared" ref="AC37:AC38" si="46">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3"/>
      <c r="AE37" s="134"/>
      <c r="AF37" s="135"/>
      <c r="AG37" s="128"/>
      <c r="AH37" s="128"/>
      <c r="AI37" s="134"/>
      <c r="AJ37" s="135"/>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ht="12.75" customHeight="1" x14ac:dyDescent="0.2">
      <c r="A38" s="201"/>
      <c r="B38" s="202"/>
      <c r="C38" s="205"/>
      <c r="D38" s="205"/>
      <c r="E38" s="205"/>
      <c r="F38" s="202"/>
      <c r="G38" s="208"/>
      <c r="H38" s="198"/>
      <c r="I38" s="197"/>
      <c r="J38" s="196"/>
      <c r="K38" s="197">
        <f ca="1">IF(NOT(ISERROR(MATCH(J38,_xlfn.ANCHORARRAY(E49),0))),I51&amp;"Por favor no seleccionar los criterios de impacto",J38)</f>
        <v>0</v>
      </c>
      <c r="L38" s="198"/>
      <c r="M38" s="197"/>
      <c r="N38" s="199"/>
      <c r="O38" s="133">
        <v>6</v>
      </c>
      <c r="P38" s="121"/>
      <c r="Q38" s="122" t="str">
        <f t="shared" si="43"/>
        <v/>
      </c>
      <c r="R38" s="123"/>
      <c r="S38" s="123"/>
      <c r="T38" s="124" t="str">
        <f t="shared" si="38"/>
        <v/>
      </c>
      <c r="U38" s="123"/>
      <c r="V38" s="123"/>
      <c r="W38" s="123"/>
      <c r="X38" s="125" t="str">
        <f t="shared" si="44"/>
        <v/>
      </c>
      <c r="Y38" s="126" t="str">
        <f t="shared" ref="Y38" si="47">IFERROR(IF(X38="","",IF(X38&lt;=0.2,"Muy Baja",IF(X38&lt;=0.4,"Baja",IF(X38&lt;=0.6,"Media",IF(X38&lt;=0.8,"Alta","Muy Alta"))))),"")</f>
        <v/>
      </c>
      <c r="Z38" s="124" t="str">
        <f t="shared" si="40"/>
        <v/>
      </c>
      <c r="AA38" s="126" t="str">
        <f t="shared" si="41"/>
        <v/>
      </c>
      <c r="AB38" s="124" t="str">
        <f t="shared" si="45"/>
        <v/>
      </c>
      <c r="AC38" s="127" t="str">
        <f t="shared" si="46"/>
        <v/>
      </c>
      <c r="AD38" s="123"/>
      <c r="AE38" s="134"/>
      <c r="AF38" s="135"/>
      <c r="AG38" s="128"/>
      <c r="AH38" s="128"/>
      <c r="AI38" s="134"/>
      <c r="AJ38" s="135"/>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ht="59.25" customHeight="1" x14ac:dyDescent="0.2">
      <c r="A39" s="201">
        <v>6</v>
      </c>
      <c r="B39" s="202" t="s">
        <v>128</v>
      </c>
      <c r="C39" s="203" t="s">
        <v>241</v>
      </c>
      <c r="D39" s="203" t="s">
        <v>242</v>
      </c>
      <c r="E39" s="203" t="s">
        <v>243</v>
      </c>
      <c r="F39" s="202" t="s">
        <v>119</v>
      </c>
      <c r="G39" s="208">
        <v>27</v>
      </c>
      <c r="H39" s="198" t="str">
        <f>IF(G39&lt;=0,"",IF(G39&lt;=2,"Muy Baja",IF(G39&lt;=24,"Baja",IF(G39&lt;=500,"Media",IF(G39&lt;=5000,"Alta","Muy Alta")))))</f>
        <v>Media</v>
      </c>
      <c r="I39" s="197">
        <f>IF(H39="","",IF(H39="Muy Baja",0.2,IF(H39="Baja",0.4,IF(H39="Media",0.6,IF(H39="Alta",0.8,IF(H39="Muy Alta",1,))))))</f>
        <v>0.6</v>
      </c>
      <c r="J39" s="196" t="s">
        <v>141</v>
      </c>
      <c r="K39" s="197" t="str">
        <f>IF(NOT(ISERROR(MATCH(J39,'Tabla Impacto'!$B$221:$B$223,0))),'Tabla Impacto'!$F$223&amp;"Por favor no seleccionar los criterios de impacto(Afectación Económica o presupuestal y Pérdida Reputacional)",J39)</f>
        <v xml:space="preserve">     Entre 50 y 100 SMLMV </v>
      </c>
      <c r="L39" s="198" t="str">
        <f>IF(OR(K39='Tabla Impacto'!$C$11,K39='Tabla Impacto'!$D$11),"Leve",IF(OR(K39='Tabla Impacto'!$C$12,K39='Tabla Impacto'!$D$12),"Menor",IF(OR(K39='Tabla Impacto'!$C$13,K39='Tabla Impacto'!$D$13),"Moderado",IF(OR(K39='Tabla Impacto'!$C$14,K39='Tabla Impacto'!$D$14),"Mayor",IF(OR(K39='Tabla Impacto'!$C$15,K39='Tabla Impacto'!$D$15),"Catastrófico","")))))</f>
        <v>Moderado</v>
      </c>
      <c r="M39" s="197">
        <f>IF(L39="","",IF(L39="Leve",0.2,IF(L39="Menor",0.4,IF(L39="Moderado",0.6,IF(L39="Mayor",0.8,IF(L39="Catastrófico",1,))))))</f>
        <v>0.6</v>
      </c>
      <c r="N39" s="199"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Moderado</v>
      </c>
      <c r="O39" s="133">
        <v>1</v>
      </c>
      <c r="P39" s="143" t="s">
        <v>251</v>
      </c>
      <c r="Q39" s="122" t="s">
        <v>4</v>
      </c>
      <c r="R39" s="149" t="s">
        <v>14</v>
      </c>
      <c r="S39" s="149" t="s">
        <v>9</v>
      </c>
      <c r="T39" s="147" t="str">
        <f>IF(AND(R39="Preventivo",S39="Automático"),"50%",IF(AND(R39="Preventivo",S39="Manual"),"40%",IF(AND(R39="Detectivo",S39="Automático"),"40%",IF(AND(R39="Detectivo",S39="Manual"),"30%",IF(AND(R39="Correctivo",S39="Automático"),"35%",IF(AND(R39="Correctivo",S39="Manual"),"25%",""))))))</f>
        <v>40%</v>
      </c>
      <c r="U39" s="149" t="s">
        <v>19</v>
      </c>
      <c r="V39" s="149" t="s">
        <v>22</v>
      </c>
      <c r="W39" s="149" t="s">
        <v>115</v>
      </c>
      <c r="X39" s="145">
        <v>0.6</v>
      </c>
      <c r="Y39" s="146" t="str">
        <f>IFERROR(IF(X39="","",IF(X39&lt;=0.2,"Muy Baja",IF(X39&lt;=0.4,"Baja",IF(X39&lt;=0.6,"Media",IF(X39&lt;=0.8,"Alta","Muy Alta"))))),"")</f>
        <v>Media</v>
      </c>
      <c r="Z39" s="147">
        <f>+X39</f>
        <v>0.6</v>
      </c>
      <c r="AA39" s="146" t="str">
        <f>IFERROR(IF(AB39="","",IF(AB39&lt;=0.2,"Leve",IF(AB39&lt;=0.4,"Menor",IF(AB39&lt;=0.6,"Moderado",IF(AB39&lt;=0.8,"Mayor","Catastrófico"))))),"")</f>
        <v>Moderado</v>
      </c>
      <c r="AB39" s="147">
        <f>IFERROR(IF(Q39="Impacto",(M39-(+M39*T39)),IF(Q39="Probabilidad",M39,"")),"")</f>
        <v>0.6</v>
      </c>
      <c r="AC39" s="148"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123" t="s">
        <v>31</v>
      </c>
      <c r="AE39" s="134"/>
      <c r="AF39" s="135"/>
      <c r="AG39" s="128"/>
      <c r="AH39" s="128"/>
      <c r="AI39" s="134"/>
      <c r="AJ39" s="135"/>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201"/>
      <c r="B40" s="202"/>
      <c r="C40" s="204"/>
      <c r="D40" s="204"/>
      <c r="E40" s="204"/>
      <c r="F40" s="202"/>
      <c r="G40" s="208"/>
      <c r="H40" s="198"/>
      <c r="I40" s="197"/>
      <c r="J40" s="196"/>
      <c r="K40" s="197">
        <f ca="1">IF(NOT(ISERROR(MATCH(J40,_xlfn.ANCHORARRAY(E51),0))),I53&amp;"Por favor no seleccionar los criterios de impacto",J40)</f>
        <v>0</v>
      </c>
      <c r="L40" s="198"/>
      <c r="M40" s="197"/>
      <c r="N40" s="199"/>
      <c r="O40" s="133">
        <v>2</v>
      </c>
      <c r="P40" s="121"/>
      <c r="Q40" s="122"/>
      <c r="R40" s="123"/>
      <c r="S40" s="123"/>
      <c r="T40" s="124"/>
      <c r="U40" s="123"/>
      <c r="V40" s="123"/>
      <c r="W40" s="123"/>
      <c r="X40" s="125"/>
      <c r="Y40" s="126"/>
      <c r="Z40" s="124"/>
      <c r="AA40" s="126"/>
      <c r="AB40" s="124"/>
      <c r="AC40" s="127"/>
      <c r="AD40" s="123"/>
      <c r="AE40" s="134"/>
      <c r="AF40" s="135"/>
      <c r="AG40" s="128"/>
      <c r="AH40" s="128"/>
      <c r="AI40" s="134"/>
      <c r="AJ40" s="135"/>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201"/>
      <c r="B41" s="202"/>
      <c r="C41" s="204"/>
      <c r="D41" s="204"/>
      <c r="E41" s="204"/>
      <c r="F41" s="202"/>
      <c r="G41" s="208"/>
      <c r="H41" s="198"/>
      <c r="I41" s="197"/>
      <c r="J41" s="196"/>
      <c r="K41" s="197">
        <f ca="1">IF(NOT(ISERROR(MATCH(J41,_xlfn.ANCHORARRAY(E52),0))),I54&amp;"Por favor no seleccionar los criterios de impacto",J41)</f>
        <v>0</v>
      </c>
      <c r="L41" s="198"/>
      <c r="M41" s="197"/>
      <c r="N41" s="199"/>
      <c r="O41" s="133">
        <v>3</v>
      </c>
      <c r="P41" s="130"/>
      <c r="Q41" s="122"/>
      <c r="R41" s="123"/>
      <c r="S41" s="123"/>
      <c r="T41" s="124"/>
      <c r="U41" s="123"/>
      <c r="V41" s="123"/>
      <c r="W41" s="123"/>
      <c r="X41" s="125"/>
      <c r="Y41" s="126"/>
      <c r="Z41" s="124"/>
      <c r="AA41" s="126"/>
      <c r="AB41" s="124"/>
      <c r="AC41" s="127"/>
      <c r="AD41" s="123"/>
      <c r="AE41" s="134"/>
      <c r="AF41" s="135"/>
      <c r="AG41" s="128"/>
      <c r="AH41" s="128"/>
      <c r="AI41" s="134"/>
      <c r="AJ41" s="135"/>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201"/>
      <c r="B42" s="202"/>
      <c r="C42" s="204"/>
      <c r="D42" s="204"/>
      <c r="E42" s="204"/>
      <c r="F42" s="202"/>
      <c r="G42" s="208"/>
      <c r="H42" s="198"/>
      <c r="I42" s="197"/>
      <c r="J42" s="196"/>
      <c r="K42" s="197">
        <f ca="1">IF(NOT(ISERROR(MATCH(J42,_xlfn.ANCHORARRAY(E53),0))),I55&amp;"Por favor no seleccionar los criterios de impacto",J42)</f>
        <v>0</v>
      </c>
      <c r="L42" s="198"/>
      <c r="M42" s="197"/>
      <c r="N42" s="199"/>
      <c r="O42" s="133">
        <v>4</v>
      </c>
      <c r="P42" s="121"/>
      <c r="Q42" s="122"/>
      <c r="R42" s="123"/>
      <c r="S42" s="123"/>
      <c r="T42" s="124"/>
      <c r="U42" s="123"/>
      <c r="V42" s="123"/>
      <c r="W42" s="123"/>
      <c r="X42" s="125"/>
      <c r="Y42" s="126"/>
      <c r="Z42" s="124"/>
      <c r="AA42" s="126"/>
      <c r="AB42" s="124"/>
      <c r="AC42" s="127"/>
      <c r="AD42" s="123"/>
      <c r="AE42" s="134"/>
      <c r="AF42" s="135"/>
      <c r="AG42" s="128"/>
      <c r="AH42" s="128"/>
      <c r="AI42" s="134"/>
      <c r="AJ42" s="135"/>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201"/>
      <c r="B43" s="202"/>
      <c r="C43" s="204"/>
      <c r="D43" s="204"/>
      <c r="E43" s="204"/>
      <c r="F43" s="202"/>
      <c r="G43" s="208"/>
      <c r="H43" s="198"/>
      <c r="I43" s="197"/>
      <c r="J43" s="196"/>
      <c r="K43" s="197">
        <f ca="1">IF(NOT(ISERROR(MATCH(J43,_xlfn.ANCHORARRAY(E54),0))),I56&amp;"Por favor no seleccionar los criterios de impacto",J43)</f>
        <v>0</v>
      </c>
      <c r="L43" s="198"/>
      <c r="M43" s="197"/>
      <c r="N43" s="199"/>
      <c r="O43" s="133">
        <v>5</v>
      </c>
      <c r="P43" s="121"/>
      <c r="Q43" s="122"/>
      <c r="R43" s="123"/>
      <c r="S43" s="123"/>
      <c r="T43" s="124"/>
      <c r="U43" s="123"/>
      <c r="V43" s="123"/>
      <c r="W43" s="123"/>
      <c r="X43" s="131"/>
      <c r="Y43" s="126"/>
      <c r="Z43" s="124"/>
      <c r="AA43" s="126"/>
      <c r="AB43" s="124"/>
      <c r="AC43" s="127"/>
      <c r="AD43" s="123"/>
      <c r="AE43" s="134"/>
      <c r="AF43" s="135"/>
      <c r="AG43" s="128"/>
      <c r="AH43" s="128"/>
      <c r="AI43" s="134"/>
      <c r="AJ43" s="135"/>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201"/>
      <c r="B44" s="202"/>
      <c r="C44" s="205"/>
      <c r="D44" s="205"/>
      <c r="E44" s="205"/>
      <c r="F44" s="202"/>
      <c r="G44" s="208"/>
      <c r="H44" s="198"/>
      <c r="I44" s="197"/>
      <c r="J44" s="196"/>
      <c r="K44" s="197">
        <f ca="1">IF(NOT(ISERROR(MATCH(J44,_xlfn.ANCHORARRAY(E55),0))),I63&amp;"Por favor no seleccionar los criterios de impacto",J44)</f>
        <v>0</v>
      </c>
      <c r="L44" s="198"/>
      <c r="M44" s="197"/>
      <c r="N44" s="199"/>
      <c r="O44" s="133">
        <v>6</v>
      </c>
      <c r="P44" s="121"/>
      <c r="Q44" s="122"/>
      <c r="R44" s="123"/>
      <c r="S44" s="123"/>
      <c r="T44" s="124"/>
      <c r="U44" s="123"/>
      <c r="V44" s="123"/>
      <c r="W44" s="123"/>
      <c r="X44" s="125"/>
      <c r="Y44" s="126"/>
      <c r="Z44" s="124"/>
      <c r="AA44" s="126"/>
      <c r="AB44" s="124"/>
      <c r="AC44" s="127"/>
      <c r="AD44" s="123"/>
      <c r="AE44" s="134"/>
      <c r="AF44" s="135"/>
      <c r="AG44" s="128"/>
      <c r="AH44" s="128"/>
      <c r="AI44" s="134"/>
      <c r="AJ44" s="135"/>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ht="67.5" customHeight="1" x14ac:dyDescent="0.2">
      <c r="A45" s="201">
        <v>7</v>
      </c>
      <c r="B45" s="202" t="s">
        <v>128</v>
      </c>
      <c r="C45" s="203" t="s">
        <v>244</v>
      </c>
      <c r="D45" s="203" t="s">
        <v>245</v>
      </c>
      <c r="E45" s="203" t="s">
        <v>246</v>
      </c>
      <c r="F45" s="202" t="s">
        <v>119</v>
      </c>
      <c r="G45" s="208">
        <v>24</v>
      </c>
      <c r="H45" s="198" t="str">
        <f>IF(G45&lt;=0,"",IF(G45&lt;=2,"Muy Baja",IF(G45&lt;=24,"Baja",IF(G45&lt;=500,"Media",IF(G45&lt;=5000,"Alta","Muy Alta")))))</f>
        <v>Baja</v>
      </c>
      <c r="I45" s="197">
        <f>IF(H45="","",IF(H45="Muy Baja",0.2,IF(H45="Baja",0.4,IF(H45="Media",0.6,IF(H45="Alta",0.8,IF(H45="Muy Alta",1,))))))</f>
        <v>0.4</v>
      </c>
      <c r="J45" s="196" t="s">
        <v>143</v>
      </c>
      <c r="K45" s="197" t="str">
        <f>IF(NOT(ISERROR(MATCH(J45,'Tabla Impacto'!$B$221:$B$223,0))),'Tabla Impacto'!$F$223&amp;"Por favor no seleccionar los criterios de impacto(Afectación Económica o presupuestal y Pérdida Reputacional)",J45)</f>
        <v xml:space="preserve">     Entre 100 y 500 SMLMV </v>
      </c>
      <c r="L45" s="198" t="str">
        <f>IF(OR(K45='Tabla Impacto'!$C$11,K45='Tabla Impacto'!$D$11),"Leve",IF(OR(K45='Tabla Impacto'!$C$12,K45='Tabla Impacto'!$D$12),"Menor",IF(OR(K45='Tabla Impacto'!$C$13,K45='Tabla Impacto'!$D$13),"Moderado",IF(OR(K45='Tabla Impacto'!$C$14,K45='Tabla Impacto'!$D$14),"Mayor",IF(OR(K45='Tabla Impacto'!$C$15,K45='Tabla Impacto'!$D$15),"Catastrófico","")))))</f>
        <v>Mayor</v>
      </c>
      <c r="M45" s="197">
        <f>IF(L45="","",IF(L45="Leve",0.2,IF(L45="Menor",0.4,IF(L45="Moderado",0.6,IF(L45="Mayor",0.8,IF(L45="Catastrófico",1,))))))</f>
        <v>0.8</v>
      </c>
      <c r="N45" s="199"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Alto</v>
      </c>
      <c r="O45" s="133">
        <v>1</v>
      </c>
      <c r="P45" s="143" t="s">
        <v>247</v>
      </c>
      <c r="Q45" s="122" t="s">
        <v>4</v>
      </c>
      <c r="R45" s="149" t="s">
        <v>14</v>
      </c>
      <c r="S45" s="149" t="s">
        <v>9</v>
      </c>
      <c r="T45" s="147" t="str">
        <f>IF(AND(R45="Preventivo",S45="Automático"),"50%",IF(AND(R45="Preventivo",S45="Manual"),"40%",IF(AND(R45="Detectivo",S45="Automático"),"40%",IF(AND(R45="Detectivo",S45="Manual"),"30%",IF(AND(R45="Correctivo",S45="Automático"),"35%",IF(AND(R45="Correctivo",S45="Manual"),"25%",""))))))</f>
        <v>40%</v>
      </c>
      <c r="U45" s="149" t="s">
        <v>19</v>
      </c>
      <c r="V45" s="149" t="s">
        <v>22</v>
      </c>
      <c r="W45" s="149" t="s">
        <v>115</v>
      </c>
      <c r="X45" s="145">
        <v>0.4</v>
      </c>
      <c r="Y45" s="146" t="str">
        <f>IFERROR(IF(X45="","",IF(X45&lt;=0.2,"Muy Baja",IF(X45&lt;=0.4,"Baja",IF(X45&lt;=0.6,"Media",IF(X45&lt;=0.8,"Alta","Muy Alta"))))),"")</f>
        <v>Baja</v>
      </c>
      <c r="Z45" s="147">
        <f>+X45</f>
        <v>0.4</v>
      </c>
      <c r="AA45" s="146" t="str">
        <f>IFERROR(IF(AB45="","",IF(AB45&lt;=0.2,"Leve",IF(AB45&lt;=0.4,"Menor",IF(AB45&lt;=0.6,"Moderado",IF(AB45&lt;=0.8,"Mayor","Catastrófico"))))),"")</f>
        <v>Mayor</v>
      </c>
      <c r="AB45" s="147">
        <f>IFERROR(IF(Q45="Impacto",(M45-(+M45*T45)),IF(Q45="Probabilidad",M45,"")),"")</f>
        <v>0.8</v>
      </c>
      <c r="AC45" s="148"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Alto</v>
      </c>
      <c r="AD45" s="123"/>
      <c r="AE45" s="134"/>
      <c r="AF45" s="135"/>
      <c r="AG45" s="128"/>
      <c r="AH45" s="128"/>
      <c r="AI45" s="134"/>
      <c r="AJ45" s="135"/>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ht="74.25" customHeight="1" x14ac:dyDescent="0.2">
      <c r="A46" s="201"/>
      <c r="B46" s="202"/>
      <c r="C46" s="204"/>
      <c r="D46" s="204"/>
      <c r="E46" s="204"/>
      <c r="F46" s="202"/>
      <c r="G46" s="208"/>
      <c r="H46" s="198"/>
      <c r="I46" s="197"/>
      <c r="J46" s="196"/>
      <c r="K46" s="197">
        <f ca="1">IF(NOT(ISERROR(MATCH(J46,_xlfn.ANCHORARRAY(E63),0))),I65&amp;"Por favor no seleccionar los criterios de impacto",J46)</f>
        <v>0</v>
      </c>
      <c r="L46" s="198"/>
      <c r="M46" s="197"/>
      <c r="N46" s="199"/>
      <c r="O46" s="133">
        <v>2</v>
      </c>
      <c r="P46" s="143" t="s">
        <v>248</v>
      </c>
      <c r="Q46" s="122" t="s">
        <v>4</v>
      </c>
      <c r="R46" s="149" t="s">
        <v>14</v>
      </c>
      <c r="S46" s="149" t="s">
        <v>9</v>
      </c>
      <c r="T46" s="147" t="str">
        <f>IF(AND(R46="Preventivo",S46="Automático"),"50%",IF(AND(R46="Preventivo",S46="Manual"),"40%",IF(AND(R46="Detectivo",S46="Automático"),"40%",IF(AND(R46="Detectivo",S46="Manual"),"30%",IF(AND(R46="Correctivo",S46="Automático"),"35%",IF(AND(R46="Correctivo",S46="Manual"),"25%",""))))))</f>
        <v>40%</v>
      </c>
      <c r="U46" s="149" t="s">
        <v>19</v>
      </c>
      <c r="V46" s="149" t="s">
        <v>22</v>
      </c>
      <c r="W46" s="149" t="s">
        <v>115</v>
      </c>
      <c r="X46" s="145">
        <v>0.36</v>
      </c>
      <c r="Y46" s="146" t="str">
        <f>IFERROR(IF(X46="","",IF(X46&lt;=0.2,"Muy Baja",IF(X46&lt;=0.4,"Baja",IF(X46&lt;=0.6,"Media",IF(X46&lt;=0.8,"Alta","Muy Alta"))))),"")</f>
        <v>Baja</v>
      </c>
      <c r="Z46" s="147">
        <f>+X46</f>
        <v>0.36</v>
      </c>
      <c r="AA46" s="146" t="str">
        <f>IFERROR(IF(AB46="","",IF(AB46&lt;=0.2,"Leve",IF(AB46&lt;=0.4,"Menor",IF(AB46&lt;=0.6,"Moderado",IF(AB46&lt;=0.8,"Mayor","Catastrófico"))))),"")</f>
        <v>Mayor</v>
      </c>
      <c r="AB46" s="147">
        <v>0.8</v>
      </c>
      <c r="AC46" s="148"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Alto</v>
      </c>
      <c r="AD46" s="123"/>
      <c r="AE46" s="134"/>
      <c r="AF46" s="135"/>
      <c r="AG46" s="128"/>
      <c r="AH46" s="128"/>
      <c r="AI46" s="134"/>
      <c r="AJ46" s="135"/>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ht="69.75" customHeight="1" x14ac:dyDescent="0.2">
      <c r="A47" s="201"/>
      <c r="B47" s="202"/>
      <c r="C47" s="204"/>
      <c r="D47" s="204"/>
      <c r="E47" s="204"/>
      <c r="F47" s="202"/>
      <c r="G47" s="208"/>
      <c r="H47" s="198"/>
      <c r="I47" s="197"/>
      <c r="J47" s="196"/>
      <c r="K47" s="197">
        <f ca="1">IF(NOT(ISERROR(MATCH(J47,_xlfn.ANCHORARRAY(E64),0))),I66&amp;"Por favor no seleccionar los criterios de impacto",J47)</f>
        <v>0</v>
      </c>
      <c r="L47" s="198"/>
      <c r="M47" s="197"/>
      <c r="N47" s="199"/>
      <c r="O47" s="133">
        <v>3</v>
      </c>
      <c r="P47" s="143" t="s">
        <v>249</v>
      </c>
      <c r="Q47" s="122" t="s">
        <v>4</v>
      </c>
      <c r="R47" s="149" t="s">
        <v>14</v>
      </c>
      <c r="S47" s="149" t="s">
        <v>9</v>
      </c>
      <c r="T47" s="147" t="str">
        <f>IF(AND(R47="Preventivo",S47="Automático"),"50%",IF(AND(R47="Preventivo",S47="Manual"),"40%",IF(AND(R47="Detectivo",S47="Automático"),"40%",IF(AND(R47="Detectivo",S47="Manual"),"30%",IF(AND(R47="Correctivo",S47="Automático"),"35%",IF(AND(R47="Correctivo",S47="Manual"),"25%",""))))))</f>
        <v>40%</v>
      </c>
      <c r="U47" s="149" t="s">
        <v>19</v>
      </c>
      <c r="V47" s="149" t="s">
        <v>22</v>
      </c>
      <c r="W47" s="149" t="s">
        <v>115</v>
      </c>
      <c r="X47" s="145">
        <v>0.6</v>
      </c>
      <c r="Y47" s="146" t="str">
        <f>IFERROR(IF(X47="","",IF(X47&lt;=0.2,"Muy Baja",IF(X47&lt;=0.4,"Baja",IF(X47&lt;=0.6,"Media",IF(X47&lt;=0.8,"Alta","Muy Alta"))))),"")</f>
        <v>Media</v>
      </c>
      <c r="Z47" s="147">
        <f>+X47</f>
        <v>0.6</v>
      </c>
      <c r="AA47" s="146" t="str">
        <f>IFERROR(IF(AB47="","",IF(AB47&lt;=0.2,"Leve",IF(AB47&lt;=0.4,"Menor",IF(AB47&lt;=0.6,"Moderado",IF(AB47&lt;=0.8,"Mayor","Catastrófico"))))),"")</f>
        <v>Menor</v>
      </c>
      <c r="AB47" s="147">
        <v>0.4</v>
      </c>
      <c r="AC47" s="148"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Moderado</v>
      </c>
      <c r="AD47" s="123"/>
      <c r="AE47" s="134"/>
      <c r="AF47" s="135"/>
      <c r="AG47" s="128"/>
      <c r="AH47" s="128"/>
      <c r="AI47" s="134"/>
      <c r="AJ47" s="135"/>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ht="67.5" customHeight="1" x14ac:dyDescent="0.2">
      <c r="A48" s="201"/>
      <c r="B48" s="202"/>
      <c r="C48" s="204"/>
      <c r="D48" s="204"/>
      <c r="E48" s="204"/>
      <c r="F48" s="202"/>
      <c r="G48" s="208"/>
      <c r="H48" s="198"/>
      <c r="I48" s="197"/>
      <c r="J48" s="196"/>
      <c r="K48" s="197">
        <f ca="1">IF(NOT(ISERROR(MATCH(J48,_xlfn.ANCHORARRAY(E65),0))),I67&amp;"Por favor no seleccionar los criterios de impacto",J48)</f>
        <v>0</v>
      </c>
      <c r="L48" s="198"/>
      <c r="M48" s="197"/>
      <c r="N48" s="199"/>
      <c r="O48" s="133">
        <v>4</v>
      </c>
      <c r="P48" s="143" t="s">
        <v>250</v>
      </c>
      <c r="Q48" s="122" t="s">
        <v>4</v>
      </c>
      <c r="R48" s="149" t="s">
        <v>14</v>
      </c>
      <c r="S48" s="149" t="s">
        <v>9</v>
      </c>
      <c r="T48" s="147" t="str">
        <f>IF(AND(R48="Preventivo",S48="Automático"),"50%",IF(AND(R48="Preventivo",S48="Manual"),"40%",IF(AND(R48="Detectivo",S48="Automático"),"40%",IF(AND(R48="Detectivo",S48="Manual"),"30%",IF(AND(R48="Correctivo",S48="Automático"),"35%",IF(AND(R48="Correctivo",S48="Manual"),"25%",""))))))</f>
        <v>40%</v>
      </c>
      <c r="U48" s="149" t="s">
        <v>19</v>
      </c>
      <c r="V48" s="149" t="s">
        <v>22</v>
      </c>
      <c r="W48" s="149" t="s">
        <v>115</v>
      </c>
      <c r="X48" s="145">
        <v>0.6</v>
      </c>
      <c r="Y48" s="146" t="str">
        <f>IFERROR(IF(X48="","",IF(X48&lt;=0.2,"Muy Baja",IF(X48&lt;=0.4,"Baja",IF(X48&lt;=0.6,"Media",IF(X48&lt;=0.8,"Alta","Muy Alta"))))),"")</f>
        <v>Media</v>
      </c>
      <c r="Z48" s="147">
        <v>0.36</v>
      </c>
      <c r="AA48" s="146" t="str">
        <f>IFERROR(IF(AB48="","",IF(AB48&lt;=0.2,"Leve",IF(AB48&lt;=0.4,"Menor",IF(AB48&lt;=0.6,"Moderado",IF(AB48&lt;=0.8,"Mayor","Catastrófico"))))),"")</f>
        <v>Menor</v>
      </c>
      <c r="AB48" s="147">
        <v>0.4</v>
      </c>
      <c r="AC48" s="148"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Moderado</v>
      </c>
      <c r="AD48" s="123"/>
      <c r="AE48" s="134"/>
      <c r="AF48" s="135"/>
      <c r="AG48" s="128"/>
      <c r="AH48" s="128"/>
      <c r="AI48" s="134"/>
      <c r="AJ48" s="135"/>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ht="33" customHeight="1" x14ac:dyDescent="0.2">
      <c r="A49" s="201"/>
      <c r="B49" s="202"/>
      <c r="C49" s="204"/>
      <c r="D49" s="204"/>
      <c r="E49" s="204"/>
      <c r="F49" s="202"/>
      <c r="G49" s="208"/>
      <c r="H49" s="198"/>
      <c r="I49" s="197"/>
      <c r="J49" s="196"/>
      <c r="K49" s="197">
        <f ca="1">IF(NOT(ISERROR(MATCH(J49,_xlfn.ANCHORARRAY(E66),0))),I68&amp;"Por favor no seleccionar los criterios de impacto",J49)</f>
        <v>0</v>
      </c>
      <c r="L49" s="198"/>
      <c r="M49" s="197"/>
      <c r="N49" s="199"/>
      <c r="O49" s="133">
        <v>5</v>
      </c>
      <c r="P49" s="121"/>
      <c r="Q49" s="122"/>
      <c r="R49" s="123"/>
      <c r="S49" s="123"/>
      <c r="T49" s="124"/>
      <c r="U49" s="123"/>
      <c r="V49" s="123"/>
      <c r="W49" s="123"/>
      <c r="X49" s="131"/>
      <c r="Y49" s="126"/>
      <c r="Z49" s="124"/>
      <c r="AA49" s="126"/>
      <c r="AB49" s="124"/>
      <c r="AC49" s="127"/>
      <c r="AD49" s="123"/>
      <c r="AE49" s="134"/>
      <c r="AF49" s="135"/>
      <c r="AG49" s="128"/>
      <c r="AH49" s="128"/>
      <c r="AI49" s="134"/>
      <c r="AJ49" s="135"/>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ht="39" customHeight="1" x14ac:dyDescent="0.2">
      <c r="A50" s="201"/>
      <c r="B50" s="202"/>
      <c r="C50" s="205"/>
      <c r="D50" s="205"/>
      <c r="E50" s="205"/>
      <c r="F50" s="202"/>
      <c r="G50" s="208"/>
      <c r="H50" s="198"/>
      <c r="I50" s="197"/>
      <c r="J50" s="196"/>
      <c r="K50" s="197">
        <f ca="1">IF(NOT(ISERROR(MATCH(J50,_xlfn.ANCHORARRAY(E67),0))),I69&amp;"Por favor no seleccionar los criterios de impacto",J50)</f>
        <v>0</v>
      </c>
      <c r="L50" s="198"/>
      <c r="M50" s="197"/>
      <c r="N50" s="199"/>
      <c r="O50" s="133">
        <v>6</v>
      </c>
      <c r="P50" s="121"/>
      <c r="Q50" s="122"/>
      <c r="R50" s="123"/>
      <c r="S50" s="123"/>
      <c r="T50" s="124"/>
      <c r="U50" s="123"/>
      <c r="V50" s="123"/>
      <c r="W50" s="123"/>
      <c r="X50" s="125"/>
      <c r="Y50" s="126"/>
      <c r="Z50" s="124"/>
      <c r="AA50" s="126"/>
      <c r="AB50" s="124"/>
      <c r="AC50" s="127"/>
      <c r="AD50" s="123"/>
      <c r="AE50" s="134"/>
      <c r="AF50" s="135"/>
      <c r="AG50" s="128"/>
      <c r="AH50" s="128"/>
      <c r="AI50" s="134"/>
      <c r="AJ50" s="135"/>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ht="114" customHeight="1" x14ac:dyDescent="0.2">
      <c r="A51" s="201">
        <v>8</v>
      </c>
      <c r="B51" s="202" t="s">
        <v>127</v>
      </c>
      <c r="C51" s="203" t="s">
        <v>252</v>
      </c>
      <c r="D51" s="203" t="s">
        <v>253</v>
      </c>
      <c r="E51" s="203" t="s">
        <v>254</v>
      </c>
      <c r="F51" s="202" t="s">
        <v>124</v>
      </c>
      <c r="G51" s="208">
        <v>27</v>
      </c>
      <c r="H51" s="198" t="str">
        <f>IF(G51&lt;=0,"",IF(G51&lt;=2,"Muy Baja",IF(G51&lt;=24,"Baja",IF(G51&lt;=500,"Media",IF(G51&lt;=5000,"Alta","Muy Alta")))))</f>
        <v>Media</v>
      </c>
      <c r="I51" s="197">
        <f>IF(H51="","",IF(H51="Muy Baja",0.2,IF(H51="Baja",0.4,IF(H51="Media",0.6,IF(H51="Alta",0.8,IF(H51="Muy Alta",1,))))))</f>
        <v>0.6</v>
      </c>
      <c r="J51" s="196" t="s">
        <v>142</v>
      </c>
      <c r="K51" s="197" t="str">
        <f>IF(NOT(ISERROR(MATCH(J51,'Tabla Impacto'!$B$221:$B$223,0))),'Tabla Impacto'!$F$223&amp;"Por favor no seleccionar los criterios de impacto(Afectación Económica o presupuestal y Pérdida Reputacional)",J51)</f>
        <v xml:space="preserve">     Entre 10 y 50 SMLMV </v>
      </c>
      <c r="L51" s="198" t="str">
        <f>IF(OR(K51='Tabla Impacto'!$C$11,K51='Tabla Impacto'!$D$11),"Leve",IF(OR(K51='Tabla Impacto'!$C$12,K51='Tabla Impacto'!$D$12),"Menor",IF(OR(K51='Tabla Impacto'!$C$13,K51='Tabla Impacto'!$D$13),"Moderado",IF(OR(K51='Tabla Impacto'!$C$14,K51='Tabla Impacto'!$D$14),"Mayor",IF(OR(K51='Tabla Impacto'!$C$15,K51='Tabla Impacto'!$D$15),"Catastrófico","")))))</f>
        <v>Menor</v>
      </c>
      <c r="M51" s="197">
        <f>IF(L51="","",IF(L51="Leve",0.2,IF(L51="Menor",0.4,IF(L51="Moderado",0.6,IF(L51="Mayor",0.8,IF(L51="Catastrófico",1,))))))</f>
        <v>0.4</v>
      </c>
      <c r="N51" s="199"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Moderado</v>
      </c>
      <c r="O51" s="133">
        <v>1</v>
      </c>
      <c r="P51" s="143" t="s">
        <v>255</v>
      </c>
      <c r="Q51" s="152" t="s">
        <v>4</v>
      </c>
      <c r="R51" s="149" t="s">
        <v>14</v>
      </c>
      <c r="S51" s="149" t="s">
        <v>9</v>
      </c>
      <c r="T51" s="147" t="str">
        <f>IF(AND(R51="Preventivo",S51="Automático"),"50%",IF(AND(R51="Preventivo",S51="Manual"),"40%",IF(AND(R51="Detectivo",S51="Automático"),"40%",IF(AND(R51="Detectivo",S51="Manual"),"30%",IF(AND(R51="Correctivo",S51="Automático"),"35%",IF(AND(R51="Correctivo",S51="Manual"),"25%",""))))))</f>
        <v>40%</v>
      </c>
      <c r="U51" s="149" t="s">
        <v>19</v>
      </c>
      <c r="V51" s="149" t="s">
        <v>22</v>
      </c>
      <c r="W51" s="149" t="s">
        <v>115</v>
      </c>
      <c r="X51" s="145">
        <v>0.5</v>
      </c>
      <c r="Y51" s="146" t="str">
        <f>IFERROR(IF(X51="","",IF(X51&lt;=0.2,"Muy Baja",IF(X51&lt;=0.4,"Baja",IF(X51&lt;=0.6,"Media",IF(X51&lt;=0.8,"Alta","Muy Alta"))))),"")</f>
        <v>Media</v>
      </c>
      <c r="Z51" s="147">
        <f>+X51</f>
        <v>0.5</v>
      </c>
      <c r="AA51" s="146" t="str">
        <f>IFERROR(IF(AB51="","",IF(AB51&lt;=0.2,"Leve",IF(AB51&lt;=0.4,"Menor",IF(AB51&lt;=0.6,"Moderado",IF(AB51&lt;=0.8,"Mayor","Catastrófico"))))),"")</f>
        <v>Menor</v>
      </c>
      <c r="AB51" s="147">
        <f>IFERROR(IF(Q51="Impacto",(M51-(+M51*T51)),IF(Q51="Probabilidad",M51,"")),"")</f>
        <v>0.4</v>
      </c>
      <c r="AC51" s="148"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Moderado</v>
      </c>
      <c r="AD51" s="149" t="s">
        <v>31</v>
      </c>
      <c r="AE51" s="134"/>
      <c r="AF51" s="135"/>
      <c r="AG51" s="128"/>
      <c r="AH51" s="128"/>
      <c r="AI51" s="134"/>
      <c r="AJ51" s="135"/>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ht="66.75" customHeight="1" x14ac:dyDescent="0.2">
      <c r="A52" s="201"/>
      <c r="B52" s="202"/>
      <c r="C52" s="204"/>
      <c r="D52" s="204"/>
      <c r="E52" s="204"/>
      <c r="F52" s="202"/>
      <c r="G52" s="208"/>
      <c r="H52" s="198"/>
      <c r="I52" s="197"/>
      <c r="J52" s="196"/>
      <c r="K52" s="197">
        <f ca="1">IF(NOT(ISERROR(MATCH(J52,_xlfn.ANCHORARRAY(E69),0))),I71&amp;"Por favor no seleccionar los criterios de impacto",J52)</f>
        <v>0</v>
      </c>
      <c r="L52" s="198"/>
      <c r="M52" s="197"/>
      <c r="N52" s="199"/>
      <c r="O52" s="133">
        <v>2</v>
      </c>
      <c r="P52" s="143" t="s">
        <v>256</v>
      </c>
      <c r="Q52" s="152" t="s">
        <v>4</v>
      </c>
      <c r="R52" s="149" t="s">
        <v>14</v>
      </c>
      <c r="S52" s="149" t="s">
        <v>9</v>
      </c>
      <c r="T52" s="147" t="str">
        <f t="shared" ref="T52:T53" si="48">IF(AND(R52="Preventivo",S52="Automático"),"50%",IF(AND(R52="Preventivo",S52="Manual"),"40%",IF(AND(R52="Detectivo",S52="Automático"),"40%",IF(AND(R52="Detectivo",S52="Manual"),"30%",IF(AND(R52="Correctivo",S52="Automático"),"35%",IF(AND(R52="Correctivo",S52="Manual"),"25%",""))))))</f>
        <v>40%</v>
      </c>
      <c r="U52" s="149" t="s">
        <v>19</v>
      </c>
      <c r="V52" s="149" t="s">
        <v>22</v>
      </c>
      <c r="W52" s="149" t="s">
        <v>115</v>
      </c>
      <c r="X52" s="145">
        <v>0.35</v>
      </c>
      <c r="Y52" s="146" t="str">
        <f t="shared" ref="Y52:Y53" si="49">IFERROR(IF(X52="","",IF(X52&lt;=0.2,"Muy Baja",IF(X52&lt;=0.4,"Baja",IF(X52&lt;=0.6,"Media",IF(X52&lt;=0.8,"Alta","Muy Alta"))))),"")</f>
        <v>Baja</v>
      </c>
      <c r="Z52" s="147">
        <v>0.25</v>
      </c>
      <c r="AA52" s="146" t="str">
        <f t="shared" ref="AA52:AA53" si="50">IFERROR(IF(AB52="","",IF(AB52&lt;=0.2,"Leve",IF(AB52&lt;=0.4,"Menor",IF(AB52&lt;=0.6,"Moderado",IF(AB52&lt;=0.8,"Mayor","Catastrófico"))))),"")</f>
        <v>Moderado</v>
      </c>
      <c r="AB52" s="147">
        <v>0.6</v>
      </c>
      <c r="AC52" s="148" t="str">
        <f t="shared" ref="AC52:AC53" si="51">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Moderado</v>
      </c>
      <c r="AD52" s="149" t="s">
        <v>31</v>
      </c>
      <c r="AE52" s="134"/>
      <c r="AF52" s="135"/>
      <c r="AG52" s="128"/>
      <c r="AH52" s="128"/>
      <c r="AI52" s="134"/>
      <c r="AJ52" s="135"/>
    </row>
    <row r="53" spans="1:68" ht="76.5" x14ac:dyDescent="0.2">
      <c r="A53" s="201"/>
      <c r="B53" s="202"/>
      <c r="C53" s="204"/>
      <c r="D53" s="204"/>
      <c r="E53" s="204"/>
      <c r="F53" s="202"/>
      <c r="G53" s="208"/>
      <c r="H53" s="198"/>
      <c r="I53" s="197"/>
      <c r="J53" s="196"/>
      <c r="K53" s="197">
        <f ca="1">IF(NOT(ISERROR(MATCH(J53,_xlfn.ANCHORARRAY(E70),0))),I72&amp;"Por favor no seleccionar los criterios de impacto",J53)</f>
        <v>0</v>
      </c>
      <c r="L53" s="198"/>
      <c r="M53" s="197"/>
      <c r="N53" s="199"/>
      <c r="O53" s="133">
        <v>3</v>
      </c>
      <c r="P53" s="143" t="s">
        <v>257</v>
      </c>
      <c r="Q53" s="152" t="s">
        <v>4</v>
      </c>
      <c r="R53" s="149" t="s">
        <v>14</v>
      </c>
      <c r="S53" s="149" t="s">
        <v>9</v>
      </c>
      <c r="T53" s="147" t="str">
        <f t="shared" si="48"/>
        <v>40%</v>
      </c>
      <c r="U53" s="149" t="s">
        <v>19</v>
      </c>
      <c r="V53" s="149" t="s">
        <v>22</v>
      </c>
      <c r="W53" s="149" t="s">
        <v>115</v>
      </c>
      <c r="X53" s="145">
        <v>0.3</v>
      </c>
      <c r="Y53" s="146" t="str">
        <f t="shared" si="49"/>
        <v>Baja</v>
      </c>
      <c r="Z53" s="147">
        <v>0.3</v>
      </c>
      <c r="AA53" s="146" t="str">
        <f t="shared" si="50"/>
        <v>Moderado</v>
      </c>
      <c r="AB53" s="147">
        <f>IFERROR(IF(AND(Q52="Impacto",Q53="Impacto"),(AB52-(+AB52*T53)),IF(AND(Q52="Probabilidad",Q53="Impacto"),(AB51-(+AB51*T53)),IF(Q53="Probabilidad",AB52,""))),"")</f>
        <v>0.6</v>
      </c>
      <c r="AC53" s="148" t="str">
        <f t="shared" si="51"/>
        <v>Moderado</v>
      </c>
      <c r="AD53" s="149" t="s">
        <v>31</v>
      </c>
      <c r="AE53" s="134"/>
      <c r="AF53" s="135"/>
      <c r="AG53" s="128"/>
      <c r="AH53" s="128"/>
      <c r="AI53" s="134"/>
      <c r="AJ53" s="135"/>
    </row>
    <row r="54" spans="1:68" x14ac:dyDescent="0.2">
      <c r="A54" s="201"/>
      <c r="B54" s="202"/>
      <c r="C54" s="204"/>
      <c r="D54" s="204"/>
      <c r="E54" s="204"/>
      <c r="F54" s="202"/>
      <c r="G54" s="208"/>
      <c r="H54" s="198"/>
      <c r="I54" s="197"/>
      <c r="J54" s="196"/>
      <c r="K54" s="197">
        <f ca="1">IF(NOT(ISERROR(MATCH(J54,_xlfn.ANCHORARRAY(E71),0))),I73&amp;"Por favor no seleccionar los criterios de impacto",J54)</f>
        <v>0</v>
      </c>
      <c r="L54" s="198"/>
      <c r="M54" s="197"/>
      <c r="N54" s="199"/>
      <c r="O54" s="133">
        <v>4</v>
      </c>
      <c r="P54" s="121"/>
      <c r="Q54" s="122"/>
      <c r="R54" s="123"/>
      <c r="S54" s="123"/>
      <c r="T54" s="124"/>
      <c r="U54" s="123"/>
      <c r="V54" s="123"/>
      <c r="W54" s="123"/>
      <c r="X54" s="125"/>
      <c r="Y54" s="126"/>
      <c r="Z54" s="124"/>
      <c r="AA54" s="126"/>
      <c r="AB54" s="124"/>
      <c r="AC54" s="127"/>
      <c r="AD54" s="123"/>
      <c r="AE54" s="134"/>
      <c r="AF54" s="135"/>
      <c r="AG54" s="128"/>
      <c r="AH54" s="128"/>
      <c r="AI54" s="134"/>
      <c r="AJ54" s="135"/>
    </row>
    <row r="55" spans="1:68" x14ac:dyDescent="0.2">
      <c r="A55" s="201"/>
      <c r="B55" s="202"/>
      <c r="C55" s="204"/>
      <c r="D55" s="204"/>
      <c r="E55" s="204"/>
      <c r="F55" s="202"/>
      <c r="G55" s="208"/>
      <c r="H55" s="198"/>
      <c r="I55" s="197"/>
      <c r="J55" s="196"/>
      <c r="K55" s="197">
        <f ca="1">IF(NOT(ISERROR(MATCH(J55,_xlfn.ANCHORARRAY(E72),0))),I74&amp;"Por favor no seleccionar los criterios de impacto",J55)</f>
        <v>0</v>
      </c>
      <c r="L55" s="198"/>
      <c r="M55" s="197"/>
      <c r="N55" s="199"/>
      <c r="O55" s="133">
        <v>5</v>
      </c>
      <c r="P55" s="121"/>
      <c r="Q55" s="122"/>
      <c r="R55" s="123"/>
      <c r="S55" s="123"/>
      <c r="T55" s="124"/>
      <c r="U55" s="123"/>
      <c r="V55" s="123"/>
      <c r="W55" s="123"/>
      <c r="X55" s="131"/>
      <c r="Y55" s="126"/>
      <c r="Z55" s="124"/>
      <c r="AA55" s="126"/>
      <c r="AB55" s="124"/>
      <c r="AC55" s="127"/>
      <c r="AD55" s="123"/>
      <c r="AE55" s="134"/>
      <c r="AF55" s="135"/>
      <c r="AG55" s="128"/>
      <c r="AH55" s="128"/>
      <c r="AI55" s="134"/>
      <c r="AJ55" s="135"/>
    </row>
    <row r="56" spans="1:68" x14ac:dyDescent="0.2">
      <c r="A56" s="201"/>
      <c r="B56" s="202"/>
      <c r="C56" s="205"/>
      <c r="D56" s="205"/>
      <c r="E56" s="205"/>
      <c r="F56" s="202"/>
      <c r="G56" s="208"/>
      <c r="H56" s="198"/>
      <c r="I56" s="197"/>
      <c r="J56" s="196"/>
      <c r="K56" s="197">
        <f ca="1">IF(NOT(ISERROR(MATCH(J56,_xlfn.ANCHORARRAY(E73),0))),I75&amp;"Por favor no seleccionar los criterios de impacto",J56)</f>
        <v>0</v>
      </c>
      <c r="L56" s="198"/>
      <c r="M56" s="197"/>
      <c r="N56" s="199"/>
      <c r="O56" s="133">
        <v>6</v>
      </c>
      <c r="P56" s="121"/>
      <c r="Q56" s="122"/>
      <c r="R56" s="123"/>
      <c r="S56" s="123"/>
      <c r="T56" s="124"/>
      <c r="U56" s="123"/>
      <c r="V56" s="123"/>
      <c r="W56" s="123"/>
      <c r="X56" s="125"/>
      <c r="Y56" s="126"/>
      <c r="Z56" s="124"/>
      <c r="AA56" s="126"/>
      <c r="AB56" s="124"/>
      <c r="AC56" s="127"/>
      <c r="AD56" s="123"/>
      <c r="AE56" s="134"/>
      <c r="AF56" s="135"/>
      <c r="AG56" s="128"/>
      <c r="AH56" s="128"/>
      <c r="AI56" s="134"/>
      <c r="AJ56" s="135"/>
    </row>
    <row r="57" spans="1:68" ht="96.75" customHeight="1" x14ac:dyDescent="0.2">
      <c r="A57" s="221">
        <v>9</v>
      </c>
      <c r="B57" s="224" t="s">
        <v>127</v>
      </c>
      <c r="C57" s="227" t="s">
        <v>258</v>
      </c>
      <c r="D57" s="227" t="s">
        <v>259</v>
      </c>
      <c r="E57" s="228" t="s">
        <v>260</v>
      </c>
      <c r="F57" s="224" t="s">
        <v>119</v>
      </c>
      <c r="G57" s="231">
        <v>905</v>
      </c>
      <c r="H57" s="198" t="str">
        <f>IF(G57&lt;=0,"",IF(G57&lt;=2,"Muy Baja",IF(G57&lt;=24,"Baja",IF(G57&lt;=500,"Media",IF(G57&lt;=5000,"Alta","Muy Alta")))))</f>
        <v>Alta</v>
      </c>
      <c r="I57" s="197">
        <v>0.8</v>
      </c>
      <c r="J57" s="196" t="s">
        <v>143</v>
      </c>
      <c r="K57" s="197" t="str">
        <f>IF(NOT(ISERROR(MATCH(J57,'Tabla Impacto'!$B$221:$B$223,0))),'Tabla Impacto'!$F$223&amp;"Por favor no seleccionar los criterios de impacto(Afectación Económica o presupuestal y Pérdida Reputacional)",J57)</f>
        <v xml:space="preserve">     Entre 100 y 500 SMLMV </v>
      </c>
      <c r="L57" s="198" t="str">
        <f>IF(OR(K57='Tabla Impacto'!$C$11,K57='Tabla Impacto'!$D$11),"Leve",IF(OR(K57='Tabla Impacto'!$C$12,K57='Tabla Impacto'!$D$12),"Menor",IF(OR(K57='Tabla Impacto'!$C$13,K57='Tabla Impacto'!$D$13),"Moderado",IF(OR(K57='Tabla Impacto'!$C$14,K57='Tabla Impacto'!$D$14),"Mayor",IF(OR(K57='Tabla Impacto'!$C$15,K57='Tabla Impacto'!$D$15),"Catastrófico","")))))</f>
        <v>Mayor</v>
      </c>
      <c r="M57" s="197">
        <f>IF(L57="","",IF(L57="Leve",0.2,IF(L57="Menor",0.4,IF(L57="Moderado",0.6,IF(L57="Mayor",0.8,IF(L57="Catastrófico",1,))))))</f>
        <v>0.8</v>
      </c>
      <c r="N57" s="199"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Alto</v>
      </c>
      <c r="O57" s="138">
        <v>1</v>
      </c>
      <c r="P57" s="151" t="s">
        <v>264</v>
      </c>
      <c r="Q57" s="152" t="str">
        <f>IF(OR(R57="Preventivo",R57="Detectivo"),"Probabilidad",IF(R57="Correctivo","Impacto",""))</f>
        <v>Probabilidad</v>
      </c>
      <c r="R57" s="149" t="s">
        <v>14</v>
      </c>
      <c r="S57" s="149" t="s">
        <v>10</v>
      </c>
      <c r="T57" s="147" t="str">
        <f>IF(AND(R57="Preventivo",S57="Automático"),"50%",IF(AND(R57="Preventivo",S57="Manual"),"40%",IF(AND(R57="Detectivo",S57="Automático"),"40%",IF(AND(R57="Detectivo",S57="Manual"),"30%",IF(AND(R57="Correctivo",S57="Automático"),"35%",IF(AND(R57="Correctivo",S57="Manual"),"25%",""))))))</f>
        <v>50%</v>
      </c>
      <c r="U57" s="149" t="s">
        <v>19</v>
      </c>
      <c r="V57" s="149" t="s">
        <v>22</v>
      </c>
      <c r="W57" s="149" t="s">
        <v>115</v>
      </c>
      <c r="X57" s="145">
        <v>0.8</v>
      </c>
      <c r="Y57" s="146" t="str">
        <f>IFERROR(IF(X57="","",IF(X57&lt;=0.2,"Muy Baja",IF(X57&lt;=0.4,"Baja",IF(X57&lt;=0.6,"Media",IF(X57&lt;=0.8,"Alta","Muy Alta"))))),"")</f>
        <v>Alta</v>
      </c>
      <c r="Z57" s="147">
        <v>0.3</v>
      </c>
      <c r="AA57" s="146" t="str">
        <f>IFERROR(IF(AB57="","",IF(AB57&lt;=0.2,"Leve",IF(AB57&lt;=0.4,"Menor",IF(AB57&lt;=0.6,"Moderado",IF(AB57&lt;=0.8,"Mayor","Catastrófico"))))),"")</f>
        <v>Mayor</v>
      </c>
      <c r="AB57" s="147">
        <f>IFERROR(IF(Q57="Impacto",(M57-(+M57*T57)),IF(Q57="Probabilidad",M57,"")),"")</f>
        <v>0.8</v>
      </c>
      <c r="AC57" s="148"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Alto</v>
      </c>
      <c r="AD57" s="149" t="s">
        <v>32</v>
      </c>
      <c r="AE57" s="139"/>
      <c r="AF57" s="140"/>
      <c r="AG57" s="128"/>
      <c r="AH57" s="128"/>
      <c r="AI57" s="139"/>
      <c r="AJ57" s="140"/>
    </row>
    <row r="58" spans="1:68" ht="81.75" customHeight="1" x14ac:dyDescent="0.2">
      <c r="A58" s="222"/>
      <c r="B58" s="225"/>
      <c r="C58" s="225"/>
      <c r="D58" s="225"/>
      <c r="E58" s="229"/>
      <c r="F58" s="225"/>
      <c r="G58" s="232"/>
      <c r="H58" s="198"/>
      <c r="I58" s="197"/>
      <c r="J58" s="196"/>
      <c r="K58" s="197">
        <f ca="1">IF(NOT(ISERROR(MATCH(J58,_xlfn.ANCHORARRAY(E75),0))),I77&amp;"Por favor no seleccionar los criterios de impacto",J58)</f>
        <v>0</v>
      </c>
      <c r="L58" s="198"/>
      <c r="M58" s="197"/>
      <c r="N58" s="199"/>
      <c r="O58" s="138">
        <v>2</v>
      </c>
      <c r="P58" s="150" t="s">
        <v>265</v>
      </c>
      <c r="Q58" s="152" t="str">
        <f>IF(OR(R58="Preventivo",R58="Detectivo"),"Probabilidad",IF(R58="Correctivo","Impacto",""))</f>
        <v>Probabilidad</v>
      </c>
      <c r="R58" s="149" t="s">
        <v>15</v>
      </c>
      <c r="S58" s="149" t="s">
        <v>9</v>
      </c>
      <c r="T58" s="147" t="str">
        <f t="shared" ref="T58" si="52">IF(AND(R58="Preventivo",S58="Automático"),"50%",IF(AND(R58="Preventivo",S58="Manual"),"40%",IF(AND(R58="Detectivo",S58="Automático"),"40%",IF(AND(R58="Detectivo",S58="Manual"),"30%",IF(AND(R58="Correctivo",S58="Automático"),"35%",IF(AND(R58="Correctivo",S58="Manual"),"25%",""))))))</f>
        <v>30%</v>
      </c>
      <c r="U58" s="149" t="s">
        <v>19</v>
      </c>
      <c r="V58" s="149" t="s">
        <v>22</v>
      </c>
      <c r="W58" s="149" t="s">
        <v>115</v>
      </c>
      <c r="X58" s="145">
        <v>0.8</v>
      </c>
      <c r="Y58" s="146" t="str">
        <f t="shared" ref="Y58" si="53">IFERROR(IF(X58="","",IF(X58&lt;=0.2,"Muy Baja",IF(X58&lt;=0.4,"Baja",IF(X58&lt;=0.6,"Media",IF(X58&lt;=0.8,"Alta","Muy Alta"))))),"")</f>
        <v>Alta</v>
      </c>
      <c r="Z58" s="147">
        <v>0.3</v>
      </c>
      <c r="AA58" s="146" t="str">
        <f t="shared" ref="AA58" si="54">IFERROR(IF(AB58="","",IF(AB58&lt;=0.2,"Leve",IF(AB58&lt;=0.4,"Menor",IF(AB58&lt;=0.6,"Moderado",IF(AB58&lt;=0.8,"Mayor","Catastrófico"))))),"")</f>
        <v>Mayor</v>
      </c>
      <c r="AB58" s="147">
        <v>0.8</v>
      </c>
      <c r="AC58" s="148" t="str">
        <f t="shared" ref="AC58" si="55">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Alto</v>
      </c>
      <c r="AD58" s="149" t="s">
        <v>32</v>
      </c>
      <c r="AE58" s="139"/>
      <c r="AF58" s="140"/>
      <c r="AG58" s="128"/>
      <c r="AH58" s="128"/>
      <c r="AI58" s="139"/>
      <c r="AJ58" s="140"/>
    </row>
    <row r="59" spans="1:68" ht="12.75" customHeight="1" x14ac:dyDescent="0.2">
      <c r="A59" s="222"/>
      <c r="B59" s="225"/>
      <c r="C59" s="225"/>
      <c r="D59" s="225"/>
      <c r="E59" s="229"/>
      <c r="F59" s="225"/>
      <c r="G59" s="232"/>
      <c r="H59" s="198"/>
      <c r="I59" s="197"/>
      <c r="J59" s="196"/>
      <c r="K59" s="197">
        <f ca="1">IF(NOT(ISERROR(MATCH(J59,_xlfn.ANCHORARRAY(E76),0))),I78&amp;"Por favor no seleccionar los criterios de impacto",J59)</f>
        <v>0</v>
      </c>
      <c r="L59" s="198"/>
      <c r="M59" s="197"/>
      <c r="N59" s="199"/>
      <c r="O59" s="138">
        <v>3</v>
      </c>
      <c r="P59" s="121"/>
      <c r="Q59" s="122"/>
      <c r="R59" s="123"/>
      <c r="S59" s="123"/>
      <c r="T59" s="124"/>
      <c r="U59" s="123"/>
      <c r="V59" s="123"/>
      <c r="W59" s="123"/>
      <c r="X59" s="125"/>
      <c r="Y59" s="126"/>
      <c r="Z59" s="124"/>
      <c r="AA59" s="126"/>
      <c r="AB59" s="124"/>
      <c r="AC59" s="127"/>
      <c r="AD59" s="123"/>
      <c r="AE59" s="139"/>
      <c r="AF59" s="140"/>
      <c r="AG59" s="128"/>
      <c r="AH59" s="128"/>
      <c r="AI59" s="139"/>
      <c r="AJ59" s="140"/>
    </row>
    <row r="60" spans="1:68" ht="12.75" customHeight="1" x14ac:dyDescent="0.2">
      <c r="A60" s="222"/>
      <c r="B60" s="225"/>
      <c r="C60" s="225"/>
      <c r="D60" s="225"/>
      <c r="E60" s="229"/>
      <c r="F60" s="225"/>
      <c r="G60" s="232"/>
      <c r="H60" s="198"/>
      <c r="I60" s="197"/>
      <c r="J60" s="196"/>
      <c r="K60" s="197">
        <f ca="1">IF(NOT(ISERROR(MATCH(J60,_xlfn.ANCHORARRAY(E77),0))),I79&amp;"Por favor no seleccionar los criterios de impacto",J60)</f>
        <v>0</v>
      </c>
      <c r="L60" s="198"/>
      <c r="M60" s="197"/>
      <c r="N60" s="199"/>
      <c r="O60" s="138">
        <v>4</v>
      </c>
      <c r="P60" s="121"/>
      <c r="Q60" s="122"/>
      <c r="R60" s="123"/>
      <c r="S60" s="123"/>
      <c r="T60" s="124"/>
      <c r="U60" s="123"/>
      <c r="V60" s="123"/>
      <c r="W60" s="123"/>
      <c r="X60" s="125"/>
      <c r="Y60" s="126"/>
      <c r="Z60" s="124"/>
      <c r="AA60" s="126"/>
      <c r="AB60" s="124"/>
      <c r="AC60" s="127"/>
      <c r="AD60" s="123"/>
      <c r="AE60" s="139"/>
      <c r="AF60" s="140"/>
      <c r="AG60" s="128"/>
      <c r="AH60" s="128"/>
      <c r="AI60" s="139"/>
      <c r="AJ60" s="140"/>
    </row>
    <row r="61" spans="1:68" ht="12.75" customHeight="1" x14ac:dyDescent="0.2">
      <c r="A61" s="222"/>
      <c r="B61" s="225"/>
      <c r="C61" s="225"/>
      <c r="D61" s="225"/>
      <c r="E61" s="229"/>
      <c r="F61" s="225"/>
      <c r="G61" s="232"/>
      <c r="H61" s="198"/>
      <c r="I61" s="197"/>
      <c r="J61" s="196"/>
      <c r="K61" s="197">
        <f ca="1">IF(NOT(ISERROR(MATCH(J61,_xlfn.ANCHORARRAY(E78),0))),I80&amp;"Por favor no seleccionar los criterios de impacto",J61)</f>
        <v>0</v>
      </c>
      <c r="L61" s="198"/>
      <c r="M61" s="197"/>
      <c r="N61" s="199"/>
      <c r="O61" s="138">
        <v>5</v>
      </c>
      <c r="P61" s="121"/>
      <c r="Q61" s="122"/>
      <c r="R61" s="123"/>
      <c r="S61" s="123"/>
      <c r="T61" s="124"/>
      <c r="U61" s="123"/>
      <c r="V61" s="123"/>
      <c r="W61" s="123"/>
      <c r="X61" s="125"/>
      <c r="Y61" s="126"/>
      <c r="Z61" s="124"/>
      <c r="AA61" s="126"/>
      <c r="AB61" s="124"/>
      <c r="AC61" s="127"/>
      <c r="AD61" s="123"/>
      <c r="AE61" s="139"/>
      <c r="AF61" s="140"/>
      <c r="AG61" s="128"/>
      <c r="AH61" s="128"/>
      <c r="AI61" s="139"/>
      <c r="AJ61" s="140"/>
    </row>
    <row r="62" spans="1:68" ht="12.75" customHeight="1" x14ac:dyDescent="0.2">
      <c r="A62" s="223"/>
      <c r="B62" s="226"/>
      <c r="C62" s="226"/>
      <c r="D62" s="226"/>
      <c r="E62" s="230"/>
      <c r="F62" s="226"/>
      <c r="G62" s="233"/>
      <c r="H62" s="198"/>
      <c r="I62" s="197"/>
      <c r="J62" s="196"/>
      <c r="K62" s="197">
        <f ca="1">IF(NOT(ISERROR(MATCH(J62,_xlfn.ANCHORARRAY(E79),0))),I81&amp;"Por favor no seleccionar los criterios de impacto",J62)</f>
        <v>0</v>
      </c>
      <c r="L62" s="198"/>
      <c r="M62" s="197"/>
      <c r="N62" s="199"/>
      <c r="O62" s="138">
        <v>6</v>
      </c>
      <c r="P62" s="121"/>
      <c r="Q62" s="122"/>
      <c r="R62" s="123"/>
      <c r="S62" s="123"/>
      <c r="T62" s="124"/>
      <c r="U62" s="123"/>
      <c r="V62" s="123"/>
      <c r="W62" s="123"/>
      <c r="X62" s="125"/>
      <c r="Y62" s="126"/>
      <c r="Z62" s="124"/>
      <c r="AA62" s="126"/>
      <c r="AB62" s="124"/>
      <c r="AC62" s="127"/>
      <c r="AD62" s="123"/>
      <c r="AE62" s="139"/>
      <c r="AF62" s="140"/>
      <c r="AG62" s="128"/>
      <c r="AH62" s="128"/>
      <c r="AI62" s="139"/>
      <c r="AJ62" s="140"/>
    </row>
    <row r="63" spans="1:68" ht="96" customHeight="1" x14ac:dyDescent="0.2">
      <c r="A63" s="201"/>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row>
    <row r="65" spans="1:6" x14ac:dyDescent="0.2">
      <c r="A65" s="115"/>
      <c r="B65" s="118"/>
      <c r="C65" s="115"/>
      <c r="D65" s="115"/>
      <c r="F65" s="115"/>
    </row>
  </sheetData>
  <dataConsolidate/>
  <mergeCells count="172">
    <mergeCell ref="J57:J62"/>
    <mergeCell ref="K57:K62"/>
    <mergeCell ref="L57:L62"/>
    <mergeCell ref="M57:M62"/>
    <mergeCell ref="N57:N62"/>
    <mergeCell ref="A57:A62"/>
    <mergeCell ref="B57:B62"/>
    <mergeCell ref="C57:C62"/>
    <mergeCell ref="D57:D62"/>
    <mergeCell ref="E57:E62"/>
    <mergeCell ref="F57:F62"/>
    <mergeCell ref="G57:G62"/>
    <mergeCell ref="H57:H62"/>
    <mergeCell ref="I57:I62"/>
    <mergeCell ref="A1:D2"/>
    <mergeCell ref="E1:AH2"/>
    <mergeCell ref="AI1:AJ2"/>
    <mergeCell ref="C3:AJ3"/>
    <mergeCell ref="C4:AJ4"/>
    <mergeCell ref="C5:AJ5"/>
    <mergeCell ref="A63:AJ63"/>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H7:H8"/>
    <mergeCell ref="I7:I8"/>
    <mergeCell ref="B7:B8"/>
    <mergeCell ref="N7:N8"/>
    <mergeCell ref="J7:J8"/>
    <mergeCell ref="K7:K8"/>
    <mergeCell ref="Q7:Q8"/>
    <mergeCell ref="R7:W7"/>
    <mergeCell ref="AE7:AE8"/>
    <mergeCell ref="A3:B3"/>
    <mergeCell ref="A4:B4"/>
    <mergeCell ref="A5:B5"/>
    <mergeCell ref="A7:A8"/>
    <mergeCell ref="F7:F8"/>
    <mergeCell ref="E7:E8"/>
    <mergeCell ref="D7:D8"/>
    <mergeCell ref="C7:C8"/>
    <mergeCell ref="G7:G8"/>
  </mergeCells>
  <conditionalFormatting sqref="L15 L21 L39">
    <cfRule type="cellIs" dxfId="447" priority="799" operator="equal">
      <formula>"Catastrófico"</formula>
    </cfRule>
    <cfRule type="cellIs" dxfId="446" priority="800" operator="equal">
      <formula>"Mayor"</formula>
    </cfRule>
    <cfRule type="cellIs" dxfId="445" priority="801" operator="equal">
      <formula>"Moderado"</formula>
    </cfRule>
    <cfRule type="cellIs" dxfId="444" priority="802" operator="equal">
      <formula>"Menor"</formula>
    </cfRule>
    <cfRule type="cellIs" dxfId="443" priority="803" operator="equal">
      <formula>"Leve"</formula>
    </cfRule>
  </conditionalFormatting>
  <conditionalFormatting sqref="N15">
    <cfRule type="cellIs" dxfId="442" priority="669" operator="equal">
      <formula>"Extremo"</formula>
    </cfRule>
    <cfRule type="cellIs" dxfId="441" priority="670" operator="equal">
      <formula>"Alto"</formula>
    </cfRule>
    <cfRule type="cellIs" dxfId="440" priority="671" operator="equal">
      <formula>"Moderado"</formula>
    </cfRule>
    <cfRule type="cellIs" dxfId="439" priority="672" operator="equal">
      <formula>"Bajo"</formula>
    </cfRule>
  </conditionalFormatting>
  <conditionalFormatting sqref="N21">
    <cfRule type="cellIs" dxfId="438" priority="641" operator="equal">
      <formula>"Extremo"</formula>
    </cfRule>
    <cfRule type="cellIs" dxfId="437" priority="642" operator="equal">
      <formula>"Alto"</formula>
    </cfRule>
    <cfRule type="cellIs" dxfId="436" priority="643" operator="equal">
      <formula>"Moderado"</formula>
    </cfRule>
    <cfRule type="cellIs" dxfId="435" priority="644" operator="equal">
      <formula>"Bajo"</formula>
    </cfRule>
  </conditionalFormatting>
  <conditionalFormatting sqref="N39">
    <cfRule type="cellIs" dxfId="434" priority="557" operator="equal">
      <formula>"Extremo"</formula>
    </cfRule>
    <cfRule type="cellIs" dxfId="433" priority="558" operator="equal">
      <formula>"Alto"</formula>
    </cfRule>
    <cfRule type="cellIs" dxfId="432" priority="559" operator="equal">
      <formula>"Moderado"</formula>
    </cfRule>
    <cfRule type="cellIs" dxfId="431" priority="560" operator="equal">
      <formula>"Bajo"</formula>
    </cfRule>
  </conditionalFormatting>
  <conditionalFormatting sqref="K9:K26 K39:K44">
    <cfRule type="containsText" dxfId="430" priority="486" operator="containsText" text="❌">
      <formula>NOT(ISERROR(SEARCH("❌",K9)))</formula>
    </cfRule>
  </conditionalFormatting>
  <conditionalFormatting sqref="H15">
    <cfRule type="cellIs" dxfId="429" priority="471" operator="equal">
      <formula>"Muy Alta"</formula>
    </cfRule>
    <cfRule type="cellIs" dxfId="428" priority="472" operator="equal">
      <formula>"Alta"</formula>
    </cfRule>
    <cfRule type="cellIs" dxfId="427" priority="473" operator="equal">
      <formula>"Media"</formula>
    </cfRule>
    <cfRule type="cellIs" dxfId="426" priority="474" operator="equal">
      <formula>"Baja"</formula>
    </cfRule>
    <cfRule type="cellIs" dxfId="425" priority="475" operator="equal">
      <formula>"Muy Baja"</formula>
    </cfRule>
  </conditionalFormatting>
  <conditionalFormatting sqref="H21">
    <cfRule type="cellIs" dxfId="424" priority="466" operator="equal">
      <formula>"Muy Alta"</formula>
    </cfRule>
    <cfRule type="cellIs" dxfId="423" priority="467" operator="equal">
      <formula>"Alta"</formula>
    </cfRule>
    <cfRule type="cellIs" dxfId="422" priority="468" operator="equal">
      <formula>"Media"</formula>
    </cfRule>
    <cfRule type="cellIs" dxfId="421" priority="469" operator="equal">
      <formula>"Baja"</formula>
    </cfRule>
    <cfRule type="cellIs" dxfId="420" priority="470" operator="equal">
      <formula>"Muy Baja"</formula>
    </cfRule>
  </conditionalFormatting>
  <conditionalFormatting sqref="H39">
    <cfRule type="cellIs" dxfId="419" priority="451" operator="equal">
      <formula>"Muy Alta"</formula>
    </cfRule>
    <cfRule type="cellIs" dxfId="418" priority="452" operator="equal">
      <formula>"Alta"</formula>
    </cfRule>
    <cfRule type="cellIs" dxfId="417" priority="453" operator="equal">
      <formula>"Media"</formula>
    </cfRule>
    <cfRule type="cellIs" dxfId="416" priority="454" operator="equal">
      <formula>"Baja"</formula>
    </cfRule>
    <cfRule type="cellIs" dxfId="415" priority="455" operator="equal">
      <formula>"Muy Baja"</formula>
    </cfRule>
  </conditionalFormatting>
  <conditionalFormatting sqref="H9">
    <cfRule type="cellIs" dxfId="414" priority="426" operator="equal">
      <formula>"Muy Alta"</formula>
    </cfRule>
    <cfRule type="cellIs" dxfId="413" priority="427" operator="equal">
      <formula>"Alta"</formula>
    </cfRule>
    <cfRule type="cellIs" dxfId="412" priority="428" operator="equal">
      <formula>"Media"</formula>
    </cfRule>
    <cfRule type="cellIs" dxfId="411" priority="429" operator="equal">
      <formula>"Baja"</formula>
    </cfRule>
    <cfRule type="cellIs" dxfId="410" priority="430" operator="equal">
      <formula>"Muy Baja"</formula>
    </cfRule>
  </conditionalFormatting>
  <conditionalFormatting sqref="L9">
    <cfRule type="cellIs" dxfId="409" priority="436" operator="equal">
      <formula>"Catastrófico"</formula>
    </cfRule>
    <cfRule type="cellIs" dxfId="408" priority="437" operator="equal">
      <formula>"Mayor"</formula>
    </cfRule>
    <cfRule type="cellIs" dxfId="407" priority="438" operator="equal">
      <formula>"Moderado"</formula>
    </cfRule>
    <cfRule type="cellIs" dxfId="406" priority="439" operator="equal">
      <formula>"Menor"</formula>
    </cfRule>
    <cfRule type="cellIs" dxfId="405" priority="440" operator="equal">
      <formula>"Leve"</formula>
    </cfRule>
  </conditionalFormatting>
  <conditionalFormatting sqref="N9">
    <cfRule type="cellIs" dxfId="404" priority="432" operator="equal">
      <formula>"Extremo"</formula>
    </cfRule>
    <cfRule type="cellIs" dxfId="403" priority="433" operator="equal">
      <formula>"Alto"</formula>
    </cfRule>
    <cfRule type="cellIs" dxfId="402" priority="434" operator="equal">
      <formula>"Moderado"</formula>
    </cfRule>
    <cfRule type="cellIs" dxfId="401" priority="435" operator="equal">
      <formula>"Bajo"</formula>
    </cfRule>
  </conditionalFormatting>
  <conditionalFormatting sqref="Y11:Y14">
    <cfRule type="cellIs" dxfId="400" priority="393" operator="equal">
      <formula>"Muy Alta"</formula>
    </cfRule>
    <cfRule type="cellIs" dxfId="399" priority="394" operator="equal">
      <formula>"Alta"</formula>
    </cfRule>
    <cfRule type="cellIs" dxfId="398" priority="395" operator="equal">
      <formula>"Media"</formula>
    </cfRule>
    <cfRule type="cellIs" dxfId="397" priority="396" operator="equal">
      <formula>"Baja"</formula>
    </cfRule>
    <cfRule type="cellIs" dxfId="396" priority="397" operator="equal">
      <formula>"Muy Baja"</formula>
    </cfRule>
  </conditionalFormatting>
  <conditionalFormatting sqref="AA11:AA14">
    <cfRule type="cellIs" dxfId="395" priority="388" operator="equal">
      <formula>"Catastrófico"</formula>
    </cfRule>
    <cfRule type="cellIs" dxfId="394" priority="389" operator="equal">
      <formula>"Mayor"</formula>
    </cfRule>
    <cfRule type="cellIs" dxfId="393" priority="390" operator="equal">
      <formula>"Moderado"</formula>
    </cfRule>
    <cfRule type="cellIs" dxfId="392" priority="391" operator="equal">
      <formula>"Menor"</formula>
    </cfRule>
    <cfRule type="cellIs" dxfId="391" priority="392" operator="equal">
      <formula>"Leve"</formula>
    </cfRule>
  </conditionalFormatting>
  <conditionalFormatting sqref="AC11:AC14">
    <cfRule type="cellIs" dxfId="390" priority="384" operator="equal">
      <formula>"Extremo"</formula>
    </cfRule>
    <cfRule type="cellIs" dxfId="389" priority="385" operator="equal">
      <formula>"Alto"</formula>
    </cfRule>
    <cfRule type="cellIs" dxfId="388" priority="386" operator="equal">
      <formula>"Moderado"</formula>
    </cfRule>
    <cfRule type="cellIs" dxfId="387" priority="387" operator="equal">
      <formula>"Bajo"</formula>
    </cfRule>
  </conditionalFormatting>
  <conditionalFormatting sqref="Y17:Y20">
    <cfRule type="cellIs" dxfId="386" priority="379" operator="equal">
      <formula>"Muy Alta"</formula>
    </cfRule>
    <cfRule type="cellIs" dxfId="385" priority="380" operator="equal">
      <formula>"Alta"</formula>
    </cfRule>
    <cfRule type="cellIs" dxfId="384" priority="381" operator="equal">
      <formula>"Media"</formula>
    </cfRule>
    <cfRule type="cellIs" dxfId="383" priority="382" operator="equal">
      <formula>"Baja"</formula>
    </cfRule>
    <cfRule type="cellIs" dxfId="382" priority="383" operator="equal">
      <formula>"Muy Baja"</formula>
    </cfRule>
  </conditionalFormatting>
  <conditionalFormatting sqref="AA17:AA20">
    <cfRule type="cellIs" dxfId="381" priority="374" operator="equal">
      <formula>"Catastrófico"</formula>
    </cfRule>
    <cfRule type="cellIs" dxfId="380" priority="375" operator="equal">
      <formula>"Mayor"</formula>
    </cfRule>
    <cfRule type="cellIs" dxfId="379" priority="376" operator="equal">
      <formula>"Moderado"</formula>
    </cfRule>
    <cfRule type="cellIs" dxfId="378" priority="377" operator="equal">
      <formula>"Menor"</formula>
    </cfRule>
    <cfRule type="cellIs" dxfId="377" priority="378" operator="equal">
      <formula>"Leve"</formula>
    </cfRule>
  </conditionalFormatting>
  <conditionalFormatting sqref="AC17:AC20">
    <cfRule type="cellIs" dxfId="376" priority="370" operator="equal">
      <formula>"Extremo"</formula>
    </cfRule>
    <cfRule type="cellIs" dxfId="375" priority="371" operator="equal">
      <formula>"Alto"</formula>
    </cfRule>
    <cfRule type="cellIs" dxfId="374" priority="372" operator="equal">
      <formula>"Moderado"</formula>
    </cfRule>
    <cfRule type="cellIs" dxfId="373" priority="373" operator="equal">
      <formula>"Bajo"</formula>
    </cfRule>
  </conditionalFormatting>
  <conditionalFormatting sqref="Y24:Y26">
    <cfRule type="cellIs" dxfId="372" priority="365" operator="equal">
      <formula>"Muy Alta"</formula>
    </cfRule>
    <cfRule type="cellIs" dxfId="371" priority="366" operator="equal">
      <formula>"Alta"</formula>
    </cfRule>
    <cfRule type="cellIs" dxfId="370" priority="367" operator="equal">
      <formula>"Media"</formula>
    </cfRule>
    <cfRule type="cellIs" dxfId="369" priority="368" operator="equal">
      <formula>"Baja"</formula>
    </cfRule>
    <cfRule type="cellIs" dxfId="368" priority="369" operator="equal">
      <formula>"Muy Baja"</formula>
    </cfRule>
  </conditionalFormatting>
  <conditionalFormatting sqref="AA24:AA26">
    <cfRule type="cellIs" dxfId="367" priority="360" operator="equal">
      <formula>"Catastrófico"</formula>
    </cfRule>
    <cfRule type="cellIs" dxfId="366" priority="361" operator="equal">
      <formula>"Mayor"</formula>
    </cfRule>
    <cfRule type="cellIs" dxfId="365" priority="362" operator="equal">
      <formula>"Moderado"</formula>
    </cfRule>
    <cfRule type="cellIs" dxfId="364" priority="363" operator="equal">
      <formula>"Menor"</formula>
    </cfRule>
    <cfRule type="cellIs" dxfId="363" priority="364" operator="equal">
      <formula>"Leve"</formula>
    </cfRule>
  </conditionalFormatting>
  <conditionalFormatting sqref="AC24:AC26">
    <cfRule type="cellIs" dxfId="362" priority="356" operator="equal">
      <formula>"Extremo"</formula>
    </cfRule>
    <cfRule type="cellIs" dxfId="361" priority="357" operator="equal">
      <formula>"Alto"</formula>
    </cfRule>
    <cfRule type="cellIs" dxfId="360" priority="358" operator="equal">
      <formula>"Moderado"</formula>
    </cfRule>
    <cfRule type="cellIs" dxfId="359" priority="359" operator="equal">
      <formula>"Bajo"</formula>
    </cfRule>
  </conditionalFormatting>
  <conditionalFormatting sqref="Y27:Y32">
    <cfRule type="cellIs" dxfId="358" priority="351" operator="equal">
      <formula>"Muy Alta"</formula>
    </cfRule>
    <cfRule type="cellIs" dxfId="357" priority="352" operator="equal">
      <formula>"Alta"</formula>
    </cfRule>
    <cfRule type="cellIs" dxfId="356" priority="353" operator="equal">
      <formula>"Media"</formula>
    </cfRule>
    <cfRule type="cellIs" dxfId="355" priority="354" operator="equal">
      <formula>"Baja"</formula>
    </cfRule>
    <cfRule type="cellIs" dxfId="354" priority="355" operator="equal">
      <formula>"Muy Baja"</formula>
    </cfRule>
  </conditionalFormatting>
  <conditionalFormatting sqref="AA27:AA32">
    <cfRule type="cellIs" dxfId="353" priority="346" operator="equal">
      <formula>"Catastrófico"</formula>
    </cfRule>
    <cfRule type="cellIs" dxfId="352" priority="347" operator="equal">
      <formula>"Mayor"</formula>
    </cfRule>
    <cfRule type="cellIs" dxfId="351" priority="348" operator="equal">
      <formula>"Moderado"</formula>
    </cfRule>
    <cfRule type="cellIs" dxfId="350" priority="349" operator="equal">
      <formula>"Menor"</formula>
    </cfRule>
    <cfRule type="cellIs" dxfId="349" priority="350" operator="equal">
      <formula>"Leve"</formula>
    </cfRule>
  </conditionalFormatting>
  <conditionalFormatting sqref="AC27:AC32">
    <cfRule type="cellIs" dxfId="348" priority="342" operator="equal">
      <formula>"Extremo"</formula>
    </cfRule>
    <cfRule type="cellIs" dxfId="347" priority="343" operator="equal">
      <formula>"Alto"</formula>
    </cfRule>
    <cfRule type="cellIs" dxfId="346" priority="344" operator="equal">
      <formula>"Moderado"</formula>
    </cfRule>
    <cfRule type="cellIs" dxfId="345" priority="345" operator="equal">
      <formula>"Bajo"</formula>
    </cfRule>
  </conditionalFormatting>
  <conditionalFormatting sqref="Y33:Y38">
    <cfRule type="cellIs" dxfId="344" priority="337" operator="equal">
      <formula>"Muy Alta"</formula>
    </cfRule>
    <cfRule type="cellIs" dxfId="343" priority="338" operator="equal">
      <formula>"Alta"</formula>
    </cfRule>
    <cfRule type="cellIs" dxfId="342" priority="339" operator="equal">
      <formula>"Media"</formula>
    </cfRule>
    <cfRule type="cellIs" dxfId="341" priority="340" operator="equal">
      <formula>"Baja"</formula>
    </cfRule>
    <cfRule type="cellIs" dxfId="340" priority="341" operator="equal">
      <formula>"Muy Baja"</formula>
    </cfRule>
  </conditionalFormatting>
  <conditionalFormatting sqref="AA33:AA38">
    <cfRule type="cellIs" dxfId="339" priority="332" operator="equal">
      <formula>"Catastrófico"</formula>
    </cfRule>
    <cfRule type="cellIs" dxfId="338" priority="333" operator="equal">
      <formula>"Mayor"</formula>
    </cfRule>
    <cfRule type="cellIs" dxfId="337" priority="334" operator="equal">
      <formula>"Moderado"</formula>
    </cfRule>
    <cfRule type="cellIs" dxfId="336" priority="335" operator="equal">
      <formula>"Menor"</formula>
    </cfRule>
    <cfRule type="cellIs" dxfId="335" priority="336" operator="equal">
      <formula>"Leve"</formula>
    </cfRule>
  </conditionalFormatting>
  <conditionalFormatting sqref="AC33:AC38">
    <cfRule type="cellIs" dxfId="334" priority="328" operator="equal">
      <formula>"Extremo"</formula>
    </cfRule>
    <cfRule type="cellIs" dxfId="333" priority="329" operator="equal">
      <formula>"Alto"</formula>
    </cfRule>
    <cfRule type="cellIs" dxfId="332" priority="330" operator="equal">
      <formula>"Moderado"</formula>
    </cfRule>
    <cfRule type="cellIs" dxfId="331" priority="331" operator="equal">
      <formula>"Bajo"</formula>
    </cfRule>
  </conditionalFormatting>
  <conditionalFormatting sqref="Y40:Y44">
    <cfRule type="cellIs" dxfId="330" priority="323" operator="equal">
      <formula>"Muy Alta"</formula>
    </cfRule>
    <cfRule type="cellIs" dxfId="329" priority="324" operator="equal">
      <formula>"Alta"</formula>
    </cfRule>
    <cfRule type="cellIs" dxfId="328" priority="325" operator="equal">
      <formula>"Media"</formula>
    </cfRule>
    <cfRule type="cellIs" dxfId="327" priority="326" operator="equal">
      <formula>"Baja"</formula>
    </cfRule>
    <cfRule type="cellIs" dxfId="326" priority="327" operator="equal">
      <formula>"Muy Baja"</formula>
    </cfRule>
  </conditionalFormatting>
  <conditionalFormatting sqref="AA40:AA44">
    <cfRule type="cellIs" dxfId="325" priority="318" operator="equal">
      <formula>"Catastrófico"</formula>
    </cfRule>
    <cfRule type="cellIs" dxfId="324" priority="319" operator="equal">
      <formula>"Mayor"</formula>
    </cfRule>
    <cfRule type="cellIs" dxfId="323" priority="320" operator="equal">
      <formula>"Moderado"</formula>
    </cfRule>
    <cfRule type="cellIs" dxfId="322" priority="321" operator="equal">
      <formula>"Menor"</formula>
    </cfRule>
    <cfRule type="cellIs" dxfId="321" priority="322" operator="equal">
      <formula>"Leve"</formula>
    </cfRule>
  </conditionalFormatting>
  <conditionalFormatting sqref="AC40:AC44">
    <cfRule type="cellIs" dxfId="320" priority="314" operator="equal">
      <formula>"Extremo"</formula>
    </cfRule>
    <cfRule type="cellIs" dxfId="319" priority="315" operator="equal">
      <formula>"Alto"</formula>
    </cfRule>
    <cfRule type="cellIs" dxfId="318" priority="316" operator="equal">
      <formula>"Moderado"</formula>
    </cfRule>
    <cfRule type="cellIs" dxfId="317" priority="317" operator="equal">
      <formula>"Bajo"</formula>
    </cfRule>
  </conditionalFormatting>
  <conditionalFormatting sqref="Y49:Y50">
    <cfRule type="cellIs" dxfId="316" priority="309" operator="equal">
      <formula>"Muy Alta"</formula>
    </cfRule>
    <cfRule type="cellIs" dxfId="315" priority="310" operator="equal">
      <formula>"Alta"</formula>
    </cfRule>
    <cfRule type="cellIs" dxfId="314" priority="311" operator="equal">
      <formula>"Media"</formula>
    </cfRule>
    <cfRule type="cellIs" dxfId="313" priority="312" operator="equal">
      <formula>"Baja"</formula>
    </cfRule>
    <cfRule type="cellIs" dxfId="312" priority="313" operator="equal">
      <formula>"Muy Baja"</formula>
    </cfRule>
  </conditionalFormatting>
  <conditionalFormatting sqref="AA49:AA50">
    <cfRule type="cellIs" dxfId="311" priority="304" operator="equal">
      <formula>"Catastrófico"</formula>
    </cfRule>
    <cfRule type="cellIs" dxfId="310" priority="305" operator="equal">
      <formula>"Mayor"</formula>
    </cfRule>
    <cfRule type="cellIs" dxfId="309" priority="306" operator="equal">
      <formula>"Moderado"</formula>
    </cfRule>
    <cfRule type="cellIs" dxfId="308" priority="307" operator="equal">
      <formula>"Menor"</formula>
    </cfRule>
    <cfRule type="cellIs" dxfId="307" priority="308" operator="equal">
      <formula>"Leve"</formula>
    </cfRule>
  </conditionalFormatting>
  <conditionalFormatting sqref="AC49:AC50">
    <cfRule type="cellIs" dxfId="306" priority="300" operator="equal">
      <formula>"Extremo"</formula>
    </cfRule>
    <cfRule type="cellIs" dxfId="305" priority="301" operator="equal">
      <formula>"Alto"</formula>
    </cfRule>
    <cfRule type="cellIs" dxfId="304" priority="302" operator="equal">
      <formula>"Moderado"</formula>
    </cfRule>
    <cfRule type="cellIs" dxfId="303" priority="303" operator="equal">
      <formula>"Bajo"</formula>
    </cfRule>
  </conditionalFormatting>
  <conditionalFormatting sqref="Y54:Y56 Y59:Y62">
    <cfRule type="cellIs" dxfId="302" priority="295" operator="equal">
      <formula>"Muy Alta"</formula>
    </cfRule>
    <cfRule type="cellIs" dxfId="301" priority="296" operator="equal">
      <formula>"Alta"</formula>
    </cfRule>
    <cfRule type="cellIs" dxfId="300" priority="297" operator="equal">
      <formula>"Media"</formula>
    </cfRule>
    <cfRule type="cellIs" dxfId="299" priority="298" operator="equal">
      <formula>"Baja"</formula>
    </cfRule>
    <cfRule type="cellIs" dxfId="298" priority="299" operator="equal">
      <formula>"Muy Baja"</formula>
    </cfRule>
  </conditionalFormatting>
  <conditionalFormatting sqref="AA54:AA56 AA59:AA62">
    <cfRule type="cellIs" dxfId="297" priority="290" operator="equal">
      <formula>"Catastrófico"</formula>
    </cfRule>
    <cfRule type="cellIs" dxfId="296" priority="291" operator="equal">
      <formula>"Mayor"</formula>
    </cfRule>
    <cfRule type="cellIs" dxfId="295" priority="292" operator="equal">
      <formula>"Moderado"</formula>
    </cfRule>
    <cfRule type="cellIs" dxfId="294" priority="293" operator="equal">
      <formula>"Menor"</formula>
    </cfRule>
    <cfRule type="cellIs" dxfId="293" priority="294" operator="equal">
      <formula>"Leve"</formula>
    </cfRule>
  </conditionalFormatting>
  <conditionalFormatting sqref="AC54:AC56 AC59:AC62">
    <cfRule type="cellIs" dxfId="292" priority="286" operator="equal">
      <formula>"Extremo"</formula>
    </cfRule>
    <cfRule type="cellIs" dxfId="291" priority="287" operator="equal">
      <formula>"Alto"</formula>
    </cfRule>
    <cfRule type="cellIs" dxfId="290" priority="288" operator="equal">
      <formula>"Moderado"</formula>
    </cfRule>
    <cfRule type="cellIs" dxfId="289" priority="289" operator="equal">
      <formula>"Bajo"</formula>
    </cfRule>
  </conditionalFormatting>
  <conditionalFormatting sqref="L27">
    <cfRule type="cellIs" dxfId="288" priority="281" operator="equal">
      <formula>"Catastrófico"</formula>
    </cfRule>
    <cfRule type="cellIs" dxfId="287" priority="282" operator="equal">
      <formula>"Mayor"</formula>
    </cfRule>
    <cfRule type="cellIs" dxfId="286" priority="283" operator="equal">
      <formula>"Moderado"</formula>
    </cfRule>
    <cfRule type="cellIs" dxfId="285" priority="284" operator="equal">
      <formula>"Menor"</formula>
    </cfRule>
    <cfRule type="cellIs" dxfId="284" priority="285" operator="equal">
      <formula>"Leve"</formula>
    </cfRule>
  </conditionalFormatting>
  <conditionalFormatting sqref="N27">
    <cfRule type="cellIs" dxfId="283" priority="277" operator="equal">
      <formula>"Extremo"</formula>
    </cfRule>
    <cfRule type="cellIs" dxfId="282" priority="278" operator="equal">
      <formula>"Alto"</formula>
    </cfRule>
    <cfRule type="cellIs" dxfId="281" priority="279" operator="equal">
      <formula>"Moderado"</formula>
    </cfRule>
    <cfRule type="cellIs" dxfId="280" priority="280" operator="equal">
      <formula>"Bajo"</formula>
    </cfRule>
  </conditionalFormatting>
  <conditionalFormatting sqref="K27:K32">
    <cfRule type="containsText" dxfId="279" priority="276" operator="containsText" text="❌">
      <formula>NOT(ISERROR(SEARCH("❌",K27)))</formula>
    </cfRule>
  </conditionalFormatting>
  <conditionalFormatting sqref="H27">
    <cfRule type="cellIs" dxfId="278" priority="271" operator="equal">
      <formula>"Muy Alta"</formula>
    </cfRule>
    <cfRule type="cellIs" dxfId="277" priority="272" operator="equal">
      <formula>"Alta"</formula>
    </cfRule>
    <cfRule type="cellIs" dxfId="276" priority="273" operator="equal">
      <formula>"Media"</formula>
    </cfRule>
    <cfRule type="cellIs" dxfId="275" priority="274" operator="equal">
      <formula>"Baja"</formula>
    </cfRule>
    <cfRule type="cellIs" dxfId="274" priority="275" operator="equal">
      <formula>"Muy Baja"</formula>
    </cfRule>
  </conditionalFormatting>
  <conditionalFormatting sqref="L33">
    <cfRule type="cellIs" dxfId="273" priority="266" operator="equal">
      <formula>"Catastrófico"</formula>
    </cfRule>
    <cfRule type="cellIs" dxfId="272" priority="267" operator="equal">
      <formula>"Mayor"</formula>
    </cfRule>
    <cfRule type="cellIs" dxfId="271" priority="268" operator="equal">
      <formula>"Moderado"</formula>
    </cfRule>
    <cfRule type="cellIs" dxfId="270" priority="269" operator="equal">
      <formula>"Menor"</formula>
    </cfRule>
    <cfRule type="cellIs" dxfId="269" priority="270" operator="equal">
      <formula>"Leve"</formula>
    </cfRule>
  </conditionalFormatting>
  <conditionalFormatting sqref="N33">
    <cfRule type="cellIs" dxfId="268" priority="262" operator="equal">
      <formula>"Extremo"</formula>
    </cfRule>
    <cfRule type="cellIs" dxfId="267" priority="263" operator="equal">
      <formula>"Alto"</formula>
    </cfRule>
    <cfRule type="cellIs" dxfId="266" priority="264" operator="equal">
      <formula>"Moderado"</formula>
    </cfRule>
    <cfRule type="cellIs" dxfId="265" priority="265" operator="equal">
      <formula>"Bajo"</formula>
    </cfRule>
  </conditionalFormatting>
  <conditionalFormatting sqref="K33:K38">
    <cfRule type="containsText" dxfId="264" priority="261" operator="containsText" text="❌">
      <formula>NOT(ISERROR(SEARCH("❌",K33)))</formula>
    </cfRule>
  </conditionalFormatting>
  <conditionalFormatting sqref="H33">
    <cfRule type="cellIs" dxfId="263" priority="256" operator="equal">
      <formula>"Muy Alta"</formula>
    </cfRule>
    <cfRule type="cellIs" dxfId="262" priority="257" operator="equal">
      <formula>"Alta"</formula>
    </cfRule>
    <cfRule type="cellIs" dxfId="261" priority="258" operator="equal">
      <formula>"Media"</formula>
    </cfRule>
    <cfRule type="cellIs" dxfId="260" priority="259" operator="equal">
      <formula>"Baja"</formula>
    </cfRule>
    <cfRule type="cellIs" dxfId="259" priority="260" operator="equal">
      <formula>"Muy Baja"</formula>
    </cfRule>
  </conditionalFormatting>
  <conditionalFormatting sqref="L45">
    <cfRule type="cellIs" dxfId="258" priority="251" operator="equal">
      <formula>"Catastrófico"</formula>
    </cfRule>
    <cfRule type="cellIs" dxfId="257" priority="252" operator="equal">
      <formula>"Mayor"</formula>
    </cfRule>
    <cfRule type="cellIs" dxfId="256" priority="253" operator="equal">
      <formula>"Moderado"</formula>
    </cfRule>
    <cfRule type="cellIs" dxfId="255" priority="254" operator="equal">
      <formula>"Menor"</formula>
    </cfRule>
    <cfRule type="cellIs" dxfId="254" priority="255" operator="equal">
      <formula>"Leve"</formula>
    </cfRule>
  </conditionalFormatting>
  <conditionalFormatting sqref="N45">
    <cfRule type="cellIs" dxfId="253" priority="247" operator="equal">
      <formula>"Extremo"</formula>
    </cfRule>
    <cfRule type="cellIs" dxfId="252" priority="248" operator="equal">
      <formula>"Alto"</formula>
    </cfRule>
    <cfRule type="cellIs" dxfId="251" priority="249" operator="equal">
      <formula>"Moderado"</formula>
    </cfRule>
    <cfRule type="cellIs" dxfId="250" priority="250" operator="equal">
      <formula>"Bajo"</formula>
    </cfRule>
  </conditionalFormatting>
  <conditionalFormatting sqref="K45:K50">
    <cfRule type="containsText" dxfId="249" priority="246" operator="containsText" text="❌">
      <formula>NOT(ISERROR(SEARCH("❌",K45)))</formula>
    </cfRule>
  </conditionalFormatting>
  <conditionalFormatting sqref="H45">
    <cfRule type="cellIs" dxfId="248" priority="241" operator="equal">
      <formula>"Muy Alta"</formula>
    </cfRule>
    <cfRule type="cellIs" dxfId="247" priority="242" operator="equal">
      <formula>"Alta"</formula>
    </cfRule>
    <cfRule type="cellIs" dxfId="246" priority="243" operator="equal">
      <formula>"Media"</formula>
    </cfRule>
    <cfRule type="cellIs" dxfId="245" priority="244" operator="equal">
      <formula>"Baja"</formula>
    </cfRule>
    <cfRule type="cellIs" dxfId="244" priority="245" operator="equal">
      <formula>"Muy Baja"</formula>
    </cfRule>
  </conditionalFormatting>
  <conditionalFormatting sqref="L51">
    <cfRule type="cellIs" dxfId="243" priority="236" operator="equal">
      <formula>"Catastrófico"</formula>
    </cfRule>
    <cfRule type="cellIs" dxfId="242" priority="237" operator="equal">
      <formula>"Mayor"</formula>
    </cfRule>
    <cfRule type="cellIs" dxfId="241" priority="238" operator="equal">
      <formula>"Moderado"</formula>
    </cfRule>
    <cfRule type="cellIs" dxfId="240" priority="239" operator="equal">
      <formula>"Menor"</formula>
    </cfRule>
    <cfRule type="cellIs" dxfId="239" priority="240" operator="equal">
      <formula>"Leve"</formula>
    </cfRule>
  </conditionalFormatting>
  <conditionalFormatting sqref="N51">
    <cfRule type="cellIs" dxfId="238" priority="232" operator="equal">
      <formula>"Extremo"</formula>
    </cfRule>
    <cfRule type="cellIs" dxfId="237" priority="233" operator="equal">
      <formula>"Alto"</formula>
    </cfRule>
    <cfRule type="cellIs" dxfId="236" priority="234" operator="equal">
      <formula>"Moderado"</formula>
    </cfRule>
    <cfRule type="cellIs" dxfId="235" priority="235" operator="equal">
      <formula>"Bajo"</formula>
    </cfRule>
  </conditionalFormatting>
  <conditionalFormatting sqref="K51:K56">
    <cfRule type="containsText" dxfId="234" priority="231" operator="containsText" text="❌">
      <formula>NOT(ISERROR(SEARCH("❌",K51)))</formula>
    </cfRule>
  </conditionalFormatting>
  <conditionalFormatting sqref="H51">
    <cfRule type="cellIs" dxfId="233" priority="226" operator="equal">
      <formula>"Muy Alta"</formula>
    </cfRule>
    <cfRule type="cellIs" dxfId="232" priority="227" operator="equal">
      <formula>"Alta"</formula>
    </cfRule>
    <cfRule type="cellIs" dxfId="231" priority="228" operator="equal">
      <formula>"Media"</formula>
    </cfRule>
    <cfRule type="cellIs" dxfId="230" priority="229" operator="equal">
      <formula>"Baja"</formula>
    </cfRule>
    <cfRule type="cellIs" dxfId="229" priority="230" operator="equal">
      <formula>"Muy Baja"</formula>
    </cfRule>
  </conditionalFormatting>
  <conditionalFormatting sqref="L57">
    <cfRule type="cellIs" dxfId="228" priority="221" operator="equal">
      <formula>"Catastrófico"</formula>
    </cfRule>
    <cfRule type="cellIs" dxfId="227" priority="222" operator="equal">
      <formula>"Mayor"</formula>
    </cfRule>
    <cfRule type="cellIs" dxfId="226" priority="223" operator="equal">
      <formula>"Moderado"</formula>
    </cfRule>
    <cfRule type="cellIs" dxfId="225" priority="224" operator="equal">
      <formula>"Menor"</formula>
    </cfRule>
    <cfRule type="cellIs" dxfId="224" priority="225" operator="equal">
      <formula>"Leve"</formula>
    </cfRule>
  </conditionalFormatting>
  <conditionalFormatting sqref="N57">
    <cfRule type="cellIs" dxfId="223" priority="217" operator="equal">
      <formula>"Extremo"</formula>
    </cfRule>
    <cfRule type="cellIs" dxfId="222" priority="218" operator="equal">
      <formula>"Alto"</formula>
    </cfRule>
    <cfRule type="cellIs" dxfId="221" priority="219" operator="equal">
      <formula>"Moderado"</formula>
    </cfRule>
    <cfRule type="cellIs" dxfId="220" priority="220" operator="equal">
      <formula>"Bajo"</formula>
    </cfRule>
  </conditionalFormatting>
  <conditionalFormatting sqref="K57:K62">
    <cfRule type="containsText" dxfId="219" priority="216" operator="containsText" text="❌">
      <formula>NOT(ISERROR(SEARCH("❌",K57)))</formula>
    </cfRule>
  </conditionalFormatting>
  <conditionalFormatting sqref="H57">
    <cfRule type="cellIs" dxfId="218" priority="211" operator="equal">
      <formula>"Muy Alta"</formula>
    </cfRule>
    <cfRule type="cellIs" dxfId="217" priority="212" operator="equal">
      <formula>"Alta"</formula>
    </cfRule>
    <cfRule type="cellIs" dxfId="216" priority="213" operator="equal">
      <formula>"Media"</formula>
    </cfRule>
    <cfRule type="cellIs" dxfId="215" priority="214" operator="equal">
      <formula>"Baja"</formula>
    </cfRule>
    <cfRule type="cellIs" dxfId="214" priority="215" operator="equal">
      <formula>"Muy Baja"</formula>
    </cfRule>
  </conditionalFormatting>
  <conditionalFormatting sqref="Y9">
    <cfRule type="cellIs" dxfId="213" priority="206" operator="equal">
      <formula>"Muy Alta"</formula>
    </cfRule>
    <cfRule type="cellIs" dxfId="212" priority="207" operator="equal">
      <formula>"Alta"</formula>
    </cfRule>
    <cfRule type="cellIs" dxfId="211" priority="208" operator="equal">
      <formula>"Media"</formula>
    </cfRule>
    <cfRule type="cellIs" dxfId="210" priority="209" operator="equal">
      <formula>"Baja"</formula>
    </cfRule>
    <cfRule type="cellIs" dxfId="209" priority="210" operator="equal">
      <formula>"Muy Baja"</formula>
    </cfRule>
  </conditionalFormatting>
  <conditionalFormatting sqref="AA9">
    <cfRule type="cellIs" dxfId="208" priority="201" operator="equal">
      <formula>"Catastrófico"</formula>
    </cfRule>
    <cfRule type="cellIs" dxfId="207" priority="202" operator="equal">
      <formula>"Mayor"</formula>
    </cfRule>
    <cfRule type="cellIs" dxfId="206" priority="203" operator="equal">
      <formula>"Moderado"</formula>
    </cfRule>
    <cfRule type="cellIs" dxfId="205" priority="204" operator="equal">
      <formula>"Menor"</formula>
    </cfRule>
    <cfRule type="cellIs" dxfId="204" priority="205" operator="equal">
      <formula>"Leve"</formula>
    </cfRule>
  </conditionalFormatting>
  <conditionalFormatting sqref="AC9">
    <cfRule type="cellIs" dxfId="203" priority="197" operator="equal">
      <formula>"Extremo"</formula>
    </cfRule>
    <cfRule type="cellIs" dxfId="202" priority="198" operator="equal">
      <formula>"Alto"</formula>
    </cfRule>
    <cfRule type="cellIs" dxfId="201" priority="199" operator="equal">
      <formula>"Moderado"</formula>
    </cfRule>
    <cfRule type="cellIs" dxfId="200" priority="200" operator="equal">
      <formula>"Bajo"</formula>
    </cfRule>
  </conditionalFormatting>
  <conditionalFormatting sqref="Y10">
    <cfRule type="cellIs" dxfId="199" priority="192" operator="equal">
      <formula>"Muy Alta"</formula>
    </cfRule>
    <cfRule type="cellIs" dxfId="198" priority="193" operator="equal">
      <formula>"Alta"</formula>
    </cfRule>
    <cfRule type="cellIs" dxfId="197" priority="194" operator="equal">
      <formula>"Media"</formula>
    </cfRule>
    <cfRule type="cellIs" dxfId="196" priority="195" operator="equal">
      <formula>"Baja"</formula>
    </cfRule>
    <cfRule type="cellIs" dxfId="195" priority="196" operator="equal">
      <formula>"Muy Baja"</formula>
    </cfRule>
  </conditionalFormatting>
  <conditionalFormatting sqref="AA10">
    <cfRule type="cellIs" dxfId="194" priority="187" operator="equal">
      <formula>"Catastrófico"</formula>
    </cfRule>
    <cfRule type="cellIs" dxfId="193" priority="188" operator="equal">
      <formula>"Mayor"</formula>
    </cfRule>
    <cfRule type="cellIs" dxfId="192" priority="189" operator="equal">
      <formula>"Moderado"</formula>
    </cfRule>
    <cfRule type="cellIs" dxfId="191" priority="190" operator="equal">
      <formula>"Menor"</formula>
    </cfRule>
    <cfRule type="cellIs" dxfId="190" priority="191" operator="equal">
      <formula>"Leve"</formula>
    </cfRule>
  </conditionalFormatting>
  <conditionalFormatting sqref="AC10">
    <cfRule type="cellIs" dxfId="189" priority="183" operator="equal">
      <formula>"Extremo"</formula>
    </cfRule>
    <cfRule type="cellIs" dxfId="188" priority="184" operator="equal">
      <formula>"Alto"</formula>
    </cfRule>
    <cfRule type="cellIs" dxfId="187" priority="185" operator="equal">
      <formula>"Moderado"</formula>
    </cfRule>
    <cfRule type="cellIs" dxfId="186" priority="186" operator="equal">
      <formula>"Bajo"</formula>
    </cfRule>
  </conditionalFormatting>
  <conditionalFormatting sqref="Y15">
    <cfRule type="cellIs" dxfId="185" priority="178" operator="equal">
      <formula>"Muy Alta"</formula>
    </cfRule>
    <cfRule type="cellIs" dxfId="184" priority="179" operator="equal">
      <formula>"Alta"</formula>
    </cfRule>
    <cfRule type="cellIs" dxfId="183" priority="180" operator="equal">
      <formula>"Media"</formula>
    </cfRule>
    <cfRule type="cellIs" dxfId="182" priority="181" operator="equal">
      <formula>"Baja"</formula>
    </cfRule>
    <cfRule type="cellIs" dxfId="181" priority="182" operator="equal">
      <formula>"Muy Baja"</formula>
    </cfRule>
  </conditionalFormatting>
  <conditionalFormatting sqref="AA15">
    <cfRule type="cellIs" dxfId="180" priority="173" operator="equal">
      <formula>"Catastrófico"</formula>
    </cfRule>
    <cfRule type="cellIs" dxfId="179" priority="174" operator="equal">
      <formula>"Mayor"</formula>
    </cfRule>
    <cfRule type="cellIs" dxfId="178" priority="175" operator="equal">
      <formula>"Moderado"</formula>
    </cfRule>
    <cfRule type="cellIs" dxfId="177" priority="176" operator="equal">
      <formula>"Menor"</formula>
    </cfRule>
    <cfRule type="cellIs" dxfId="176" priority="177" operator="equal">
      <formula>"Leve"</formula>
    </cfRule>
  </conditionalFormatting>
  <conditionalFormatting sqref="AC15">
    <cfRule type="cellIs" dxfId="175" priority="169" operator="equal">
      <formula>"Extremo"</formula>
    </cfRule>
    <cfRule type="cellIs" dxfId="174" priority="170" operator="equal">
      <formula>"Alto"</formula>
    </cfRule>
    <cfRule type="cellIs" dxfId="173" priority="171" operator="equal">
      <formula>"Moderado"</formula>
    </cfRule>
    <cfRule type="cellIs" dxfId="172" priority="172" operator="equal">
      <formula>"Bajo"</formula>
    </cfRule>
  </conditionalFormatting>
  <conditionalFormatting sqref="Y16">
    <cfRule type="cellIs" dxfId="171" priority="164" operator="equal">
      <formula>"Muy Alta"</formula>
    </cfRule>
    <cfRule type="cellIs" dxfId="170" priority="165" operator="equal">
      <formula>"Alta"</formula>
    </cfRule>
    <cfRule type="cellIs" dxfId="169" priority="166" operator="equal">
      <formula>"Media"</formula>
    </cfRule>
    <cfRule type="cellIs" dxfId="168" priority="167" operator="equal">
      <formula>"Baja"</formula>
    </cfRule>
    <cfRule type="cellIs" dxfId="167" priority="168" operator="equal">
      <formula>"Muy Baja"</formula>
    </cfRule>
  </conditionalFormatting>
  <conditionalFormatting sqref="AA16">
    <cfRule type="cellIs" dxfId="166" priority="159" operator="equal">
      <formula>"Catastrófico"</formula>
    </cfRule>
    <cfRule type="cellIs" dxfId="165" priority="160" operator="equal">
      <formula>"Mayor"</formula>
    </cfRule>
    <cfRule type="cellIs" dxfId="164" priority="161" operator="equal">
      <formula>"Moderado"</formula>
    </cfRule>
    <cfRule type="cellIs" dxfId="163" priority="162" operator="equal">
      <formula>"Menor"</formula>
    </cfRule>
    <cfRule type="cellIs" dxfId="162" priority="163" operator="equal">
      <formula>"Leve"</formula>
    </cfRule>
  </conditionalFormatting>
  <conditionalFormatting sqref="AC16">
    <cfRule type="cellIs" dxfId="161" priority="155" operator="equal">
      <formula>"Extremo"</formula>
    </cfRule>
    <cfRule type="cellIs" dxfId="160" priority="156" operator="equal">
      <formula>"Alto"</formula>
    </cfRule>
    <cfRule type="cellIs" dxfId="159" priority="157" operator="equal">
      <formula>"Moderado"</formula>
    </cfRule>
    <cfRule type="cellIs" dxfId="158" priority="158" operator="equal">
      <formula>"Bajo"</formula>
    </cfRule>
  </conditionalFormatting>
  <conditionalFormatting sqref="Y21">
    <cfRule type="cellIs" dxfId="157" priority="150" operator="equal">
      <formula>"Muy Alta"</formula>
    </cfRule>
    <cfRule type="cellIs" dxfId="156" priority="151" operator="equal">
      <formula>"Alta"</formula>
    </cfRule>
    <cfRule type="cellIs" dxfId="155" priority="152" operator="equal">
      <formula>"Media"</formula>
    </cfRule>
    <cfRule type="cellIs" dxfId="154" priority="153" operator="equal">
      <formula>"Baja"</formula>
    </cfRule>
    <cfRule type="cellIs" dxfId="153" priority="154" operator="equal">
      <formula>"Muy Baja"</formula>
    </cfRule>
  </conditionalFormatting>
  <conditionalFormatting sqref="AA21">
    <cfRule type="cellIs" dxfId="152" priority="145" operator="equal">
      <formula>"Catastrófico"</formula>
    </cfRule>
    <cfRule type="cellIs" dxfId="151" priority="146" operator="equal">
      <formula>"Mayor"</formula>
    </cfRule>
    <cfRule type="cellIs" dxfId="150" priority="147" operator="equal">
      <formula>"Moderado"</formula>
    </cfRule>
    <cfRule type="cellIs" dxfId="149" priority="148" operator="equal">
      <formula>"Menor"</formula>
    </cfRule>
    <cfRule type="cellIs" dxfId="148" priority="149" operator="equal">
      <formula>"Leve"</formula>
    </cfRule>
  </conditionalFormatting>
  <conditionalFormatting sqref="AC21">
    <cfRule type="cellIs" dxfId="147" priority="141" operator="equal">
      <formula>"Extremo"</formula>
    </cfRule>
    <cfRule type="cellIs" dxfId="146" priority="142" operator="equal">
      <formula>"Alto"</formula>
    </cfRule>
    <cfRule type="cellIs" dxfId="145" priority="143" operator="equal">
      <formula>"Moderado"</formula>
    </cfRule>
    <cfRule type="cellIs" dxfId="144" priority="144" operator="equal">
      <formula>"Bajo"</formula>
    </cfRule>
  </conditionalFormatting>
  <conditionalFormatting sqref="Y22">
    <cfRule type="cellIs" dxfId="143" priority="136" operator="equal">
      <formula>"Muy Alta"</formula>
    </cfRule>
    <cfRule type="cellIs" dxfId="142" priority="137" operator="equal">
      <formula>"Alta"</formula>
    </cfRule>
    <cfRule type="cellIs" dxfId="141" priority="138" operator="equal">
      <formula>"Media"</formula>
    </cfRule>
    <cfRule type="cellIs" dxfId="140" priority="139" operator="equal">
      <formula>"Baja"</formula>
    </cfRule>
    <cfRule type="cellIs" dxfId="139" priority="140" operator="equal">
      <formula>"Muy Baja"</formula>
    </cfRule>
  </conditionalFormatting>
  <conditionalFormatting sqref="AA22">
    <cfRule type="cellIs" dxfId="138" priority="131" operator="equal">
      <formula>"Catastrófico"</formula>
    </cfRule>
    <cfRule type="cellIs" dxfId="137" priority="132" operator="equal">
      <formula>"Mayor"</formula>
    </cfRule>
    <cfRule type="cellIs" dxfId="136" priority="133" operator="equal">
      <formula>"Moderado"</formula>
    </cfRule>
    <cfRule type="cellIs" dxfId="135" priority="134" operator="equal">
      <formula>"Menor"</formula>
    </cfRule>
    <cfRule type="cellIs" dxfId="134" priority="135" operator="equal">
      <formula>"Leve"</formula>
    </cfRule>
  </conditionalFormatting>
  <conditionalFormatting sqref="AC22">
    <cfRule type="cellIs" dxfId="133" priority="127" operator="equal">
      <formula>"Extremo"</formula>
    </cfRule>
    <cfRule type="cellIs" dxfId="132" priority="128" operator="equal">
      <formula>"Alto"</formula>
    </cfRule>
    <cfRule type="cellIs" dxfId="131" priority="129" operator="equal">
      <formula>"Moderado"</formula>
    </cfRule>
    <cfRule type="cellIs" dxfId="130" priority="130" operator="equal">
      <formula>"Bajo"</formula>
    </cfRule>
  </conditionalFormatting>
  <conditionalFormatting sqref="Y23">
    <cfRule type="cellIs" dxfId="129" priority="122" operator="equal">
      <formula>"Muy Alta"</formula>
    </cfRule>
    <cfRule type="cellIs" dxfId="128" priority="123" operator="equal">
      <formula>"Alta"</formula>
    </cfRule>
    <cfRule type="cellIs" dxfId="127" priority="124" operator="equal">
      <formula>"Media"</formula>
    </cfRule>
    <cfRule type="cellIs" dxfId="126" priority="125" operator="equal">
      <formula>"Baja"</formula>
    </cfRule>
    <cfRule type="cellIs" dxfId="125" priority="126" operator="equal">
      <formula>"Muy Baja"</formula>
    </cfRule>
  </conditionalFormatting>
  <conditionalFormatting sqref="AA23">
    <cfRule type="cellIs" dxfId="124" priority="117" operator="equal">
      <formula>"Catastrófico"</formula>
    </cfRule>
    <cfRule type="cellIs" dxfId="123" priority="118" operator="equal">
      <formula>"Mayor"</formula>
    </cfRule>
    <cfRule type="cellIs" dxfId="122" priority="119" operator="equal">
      <formula>"Moderado"</formula>
    </cfRule>
    <cfRule type="cellIs" dxfId="121" priority="120" operator="equal">
      <formula>"Menor"</formula>
    </cfRule>
    <cfRule type="cellIs" dxfId="120" priority="121" operator="equal">
      <formula>"Leve"</formula>
    </cfRule>
  </conditionalFormatting>
  <conditionalFormatting sqref="AC23">
    <cfRule type="cellIs" dxfId="119" priority="113" operator="equal">
      <formula>"Extremo"</formula>
    </cfRule>
    <cfRule type="cellIs" dxfId="118" priority="114" operator="equal">
      <formula>"Alto"</formula>
    </cfRule>
    <cfRule type="cellIs" dxfId="117" priority="115" operator="equal">
      <formula>"Moderado"</formula>
    </cfRule>
    <cfRule type="cellIs" dxfId="116" priority="116" operator="equal">
      <formula>"Bajo"</formula>
    </cfRule>
  </conditionalFormatting>
  <conditionalFormatting sqref="Y39">
    <cfRule type="cellIs" dxfId="115" priority="108" operator="equal">
      <formula>"Muy Alta"</formula>
    </cfRule>
    <cfRule type="cellIs" dxfId="114" priority="109" operator="equal">
      <formula>"Alta"</formula>
    </cfRule>
    <cfRule type="cellIs" dxfId="113" priority="110" operator="equal">
      <formula>"Media"</formula>
    </cfRule>
    <cfRule type="cellIs" dxfId="112" priority="111" operator="equal">
      <formula>"Baja"</formula>
    </cfRule>
    <cfRule type="cellIs" dxfId="111" priority="112" operator="equal">
      <formula>"Muy Baja"</formula>
    </cfRule>
  </conditionalFormatting>
  <conditionalFormatting sqref="AA39">
    <cfRule type="cellIs" dxfId="110" priority="103" operator="equal">
      <formula>"Catastrófico"</formula>
    </cfRule>
    <cfRule type="cellIs" dxfId="109" priority="104" operator="equal">
      <formula>"Mayor"</formula>
    </cfRule>
    <cfRule type="cellIs" dxfId="108" priority="105" operator="equal">
      <formula>"Moderado"</formula>
    </cfRule>
    <cfRule type="cellIs" dxfId="107" priority="106" operator="equal">
      <formula>"Menor"</formula>
    </cfRule>
    <cfRule type="cellIs" dxfId="106" priority="107" operator="equal">
      <formula>"Leve"</formula>
    </cfRule>
  </conditionalFormatting>
  <conditionalFormatting sqref="AC39">
    <cfRule type="cellIs" dxfId="105" priority="99" operator="equal">
      <formula>"Extremo"</formula>
    </cfRule>
    <cfRule type="cellIs" dxfId="104" priority="100" operator="equal">
      <formula>"Alto"</formula>
    </cfRule>
    <cfRule type="cellIs" dxfId="103" priority="101" operator="equal">
      <formula>"Moderado"</formula>
    </cfRule>
    <cfRule type="cellIs" dxfId="102" priority="102" operator="equal">
      <formula>"Bajo"</formula>
    </cfRule>
  </conditionalFormatting>
  <conditionalFormatting sqref="Y45">
    <cfRule type="cellIs" dxfId="101" priority="94" operator="equal">
      <formula>"Muy Alta"</formula>
    </cfRule>
    <cfRule type="cellIs" dxfId="100" priority="95" operator="equal">
      <formula>"Alta"</formula>
    </cfRule>
    <cfRule type="cellIs" dxfId="99" priority="96" operator="equal">
      <formula>"Media"</formula>
    </cfRule>
    <cfRule type="cellIs" dxfId="98" priority="97" operator="equal">
      <formula>"Baja"</formula>
    </cfRule>
    <cfRule type="cellIs" dxfId="97" priority="98" operator="equal">
      <formula>"Muy Baja"</formula>
    </cfRule>
  </conditionalFormatting>
  <conditionalFormatting sqref="AA45">
    <cfRule type="cellIs" dxfId="96" priority="89" operator="equal">
      <formula>"Catastrófico"</formula>
    </cfRule>
    <cfRule type="cellIs" dxfId="95" priority="90" operator="equal">
      <formula>"Mayor"</formula>
    </cfRule>
    <cfRule type="cellIs" dxfId="94" priority="91" operator="equal">
      <formula>"Moderado"</formula>
    </cfRule>
    <cfRule type="cellIs" dxfId="93" priority="92" operator="equal">
      <formula>"Menor"</formula>
    </cfRule>
    <cfRule type="cellIs" dxfId="92" priority="93" operator="equal">
      <formula>"Leve"</formula>
    </cfRule>
  </conditionalFormatting>
  <conditionalFormatting sqref="AC45">
    <cfRule type="cellIs" dxfId="91" priority="85" operator="equal">
      <formula>"Extremo"</formula>
    </cfRule>
    <cfRule type="cellIs" dxfId="90" priority="86" operator="equal">
      <formula>"Alto"</formula>
    </cfRule>
    <cfRule type="cellIs" dxfId="89" priority="87" operator="equal">
      <formula>"Moderado"</formula>
    </cfRule>
    <cfRule type="cellIs" dxfId="88" priority="88" operator="equal">
      <formula>"Bajo"</formula>
    </cfRule>
  </conditionalFormatting>
  <conditionalFormatting sqref="Y46">
    <cfRule type="cellIs" dxfId="87" priority="80" operator="equal">
      <formula>"Muy Alta"</formula>
    </cfRule>
    <cfRule type="cellIs" dxfId="86" priority="81" operator="equal">
      <formula>"Alta"</formula>
    </cfRule>
    <cfRule type="cellIs" dxfId="85" priority="82" operator="equal">
      <formula>"Media"</formula>
    </cfRule>
    <cfRule type="cellIs" dxfId="84" priority="83" operator="equal">
      <formula>"Baja"</formula>
    </cfRule>
    <cfRule type="cellIs" dxfId="83" priority="84" operator="equal">
      <formula>"Muy Baja"</formula>
    </cfRule>
  </conditionalFormatting>
  <conditionalFormatting sqref="AA46">
    <cfRule type="cellIs" dxfId="82" priority="75" operator="equal">
      <formula>"Catastrófico"</formula>
    </cfRule>
    <cfRule type="cellIs" dxfId="81" priority="76" operator="equal">
      <formula>"Mayor"</formula>
    </cfRule>
    <cfRule type="cellIs" dxfId="80" priority="77" operator="equal">
      <formula>"Moderado"</formula>
    </cfRule>
    <cfRule type="cellIs" dxfId="79" priority="78" operator="equal">
      <formula>"Menor"</formula>
    </cfRule>
    <cfRule type="cellIs" dxfId="78" priority="79" operator="equal">
      <formula>"Leve"</formula>
    </cfRule>
  </conditionalFormatting>
  <conditionalFormatting sqref="AC46">
    <cfRule type="cellIs" dxfId="77" priority="71" operator="equal">
      <formula>"Extremo"</formula>
    </cfRule>
    <cfRule type="cellIs" dxfId="76" priority="72" operator="equal">
      <formula>"Alto"</formula>
    </cfRule>
    <cfRule type="cellIs" dxfId="75" priority="73" operator="equal">
      <formula>"Moderado"</formula>
    </cfRule>
    <cfRule type="cellIs" dxfId="74" priority="74" operator="equal">
      <formula>"Bajo"</formula>
    </cfRule>
  </conditionalFormatting>
  <conditionalFormatting sqref="Y47">
    <cfRule type="cellIs" dxfId="73" priority="66" operator="equal">
      <formula>"Muy Alta"</formula>
    </cfRule>
    <cfRule type="cellIs" dxfId="72" priority="67" operator="equal">
      <formula>"Alta"</formula>
    </cfRule>
    <cfRule type="cellIs" dxfId="71" priority="68" operator="equal">
      <formula>"Media"</formula>
    </cfRule>
    <cfRule type="cellIs" dxfId="70" priority="69" operator="equal">
      <formula>"Baja"</formula>
    </cfRule>
    <cfRule type="cellIs" dxfId="69" priority="70" operator="equal">
      <formula>"Muy Baja"</formula>
    </cfRule>
  </conditionalFormatting>
  <conditionalFormatting sqref="AA47">
    <cfRule type="cellIs" dxfId="68" priority="61" operator="equal">
      <formula>"Catastrófico"</formula>
    </cfRule>
    <cfRule type="cellIs" dxfId="67" priority="62" operator="equal">
      <formula>"Mayor"</formula>
    </cfRule>
    <cfRule type="cellIs" dxfId="66" priority="63" operator="equal">
      <formula>"Moderado"</formula>
    </cfRule>
    <cfRule type="cellIs" dxfId="65" priority="64" operator="equal">
      <formula>"Menor"</formula>
    </cfRule>
    <cfRule type="cellIs" dxfId="64" priority="65" operator="equal">
      <formula>"Leve"</formula>
    </cfRule>
  </conditionalFormatting>
  <conditionalFormatting sqref="AC47">
    <cfRule type="cellIs" dxfId="63" priority="57" operator="equal">
      <formula>"Extremo"</formula>
    </cfRule>
    <cfRule type="cellIs" dxfId="62" priority="58" operator="equal">
      <formula>"Alto"</formula>
    </cfRule>
    <cfRule type="cellIs" dxfId="61" priority="59" operator="equal">
      <formula>"Moderado"</formula>
    </cfRule>
    <cfRule type="cellIs" dxfId="60" priority="60" operator="equal">
      <formula>"Bajo"</formula>
    </cfRule>
  </conditionalFormatting>
  <conditionalFormatting sqref="Y48">
    <cfRule type="cellIs" dxfId="59" priority="52" operator="equal">
      <formula>"Muy Alta"</formula>
    </cfRule>
    <cfRule type="cellIs" dxfId="58" priority="53" operator="equal">
      <formula>"Alta"</formula>
    </cfRule>
    <cfRule type="cellIs" dxfId="57" priority="54" operator="equal">
      <formula>"Media"</formula>
    </cfRule>
    <cfRule type="cellIs" dxfId="56" priority="55" operator="equal">
      <formula>"Baja"</formula>
    </cfRule>
    <cfRule type="cellIs" dxfId="55" priority="56" operator="equal">
      <formula>"Muy Baja"</formula>
    </cfRule>
  </conditionalFormatting>
  <conditionalFormatting sqref="AA48">
    <cfRule type="cellIs" dxfId="54" priority="47" operator="equal">
      <formula>"Catastrófico"</formula>
    </cfRule>
    <cfRule type="cellIs" dxfId="53" priority="48" operator="equal">
      <formula>"Mayor"</formula>
    </cfRule>
    <cfRule type="cellIs" dxfId="52" priority="49" operator="equal">
      <formula>"Moderado"</formula>
    </cfRule>
    <cfRule type="cellIs" dxfId="51" priority="50" operator="equal">
      <formula>"Menor"</formula>
    </cfRule>
    <cfRule type="cellIs" dxfId="50" priority="51" operator="equal">
      <formula>"Leve"</formula>
    </cfRule>
  </conditionalFormatting>
  <conditionalFormatting sqref="AC48">
    <cfRule type="cellIs" dxfId="49" priority="43" operator="equal">
      <formula>"Extremo"</formula>
    </cfRule>
    <cfRule type="cellIs" dxfId="48" priority="44" operator="equal">
      <formula>"Alto"</formula>
    </cfRule>
    <cfRule type="cellIs" dxfId="47" priority="45" operator="equal">
      <formula>"Moderado"</formula>
    </cfRule>
    <cfRule type="cellIs" dxfId="46" priority="46" operator="equal">
      <formula>"Bajo"</formula>
    </cfRule>
  </conditionalFormatting>
  <conditionalFormatting sqref="Y57">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57">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57">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58">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58">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58">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51:Y53">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51:AA53">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51:AC53">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6000000}">
          <x14:formula1>
            <xm:f>'Opciones Tratamiento'!$B$13:$B$19</xm:f>
          </x14:formula1>
          <xm:sqref>F9:F57</xm:sqref>
        </x14:dataValidation>
        <x14:dataValidation type="list" allowBlank="1" showInputMessage="1" showErrorMessage="1" xr:uid="{00000000-0002-0000-0100-000007000000}">
          <x14:formula1>
            <xm:f>'Opciones Tratamiento'!$E$2:$E$4</xm:f>
          </x14:formula1>
          <xm:sqref>B9:B57</xm:sqref>
        </x14:dataValidation>
        <x14:dataValidation type="list" allowBlank="1" showInputMessage="1" showErrorMessage="1" xr:uid="{00000000-0002-0000-0100-000009000000}">
          <x14:formula1>
            <xm:f>'Tabla Impacto'!$F$210:$F$221</xm:f>
          </x14:formula1>
          <xm:sqref>J9:J62</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AE9:AE62</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AF9:AF62</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AG9:AG62</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AH9:AH62</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AI9:AI62</xm:sqref>
        </x14:dataValidation>
        <x14:dataValidation type="list" allowBlank="1" showInputMessage="1" showErrorMessage="1" xr:uid="{C048EE8A-148D-4F80-A469-1331E24AFE26}">
          <x14:formula1>
            <xm:f>'[Mapa-de-Riesgos-Proceso-Gestion-Financiera.xlsx]Opciones Tratamiento'!#REF!</xm:f>
          </x14:formula1>
          <xm:sqref>AD9:AD10 AD15:AD16 AD57:AD58</xm:sqref>
        </x14:dataValidation>
        <x14:dataValidation type="list" allowBlank="1" showInputMessage="1" showErrorMessage="1" xr:uid="{641B6431-FCCA-4BFF-957E-90FB11F5B4BC}">
          <x14:formula1>
            <xm:f>'[Mapa-de-Riesgos-Proceso-Gestion-Financiera.xlsx]Tabla Valoración controles'!#REF!</xm:f>
          </x14:formula1>
          <xm:sqref>R22 R39:S39 R45:S48 R57:S58 U39:W39 U45:W48 U57:W58 W33 W28:W29 W21:W23 W15:W16</xm:sqref>
        </x14:dataValidation>
        <x14:dataValidation type="list" allowBlank="1" showInputMessage="1" showErrorMessage="1" xr:uid="{45B0580A-0776-4EB7-B711-92E25ED696EC}">
          <x14:formula1>
            <xm:f>'[Mapa-de-Riesgos-Proceso-Gestion-Administrativa.xlsx]Opciones Tratamiento'!#REF!</xm:f>
          </x14:formula1>
          <xm:sqref>AD51:AD53</xm:sqref>
        </x14:dataValidation>
        <x14:dataValidation type="list" allowBlank="1" showInputMessage="1" showErrorMessage="1" xr:uid="{7013B6E0-D217-403F-9A73-9169DE4BC114}">
          <x14:formula1>
            <xm:f>'[Mapa-de-Riesgos-Proceso-Gestion-Administrativa.xlsx]Tabla Valoración controles'!#REF!</xm:f>
          </x14:formula1>
          <xm:sqref>R51:S53 U51:W53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34" t="s">
        <v>153</v>
      </c>
      <c r="C2" s="234"/>
      <c r="D2" s="234"/>
      <c r="E2" s="234"/>
      <c r="F2" s="234"/>
      <c r="G2" s="234"/>
      <c r="H2" s="234"/>
      <c r="I2" s="234"/>
      <c r="J2" s="271" t="s">
        <v>2</v>
      </c>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34"/>
      <c r="C3" s="234"/>
      <c r="D3" s="234"/>
      <c r="E3" s="234"/>
      <c r="F3" s="234"/>
      <c r="G3" s="234"/>
      <c r="H3" s="234"/>
      <c r="I3" s="234"/>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34"/>
      <c r="C4" s="234"/>
      <c r="D4" s="234"/>
      <c r="E4" s="234"/>
      <c r="F4" s="234"/>
      <c r="G4" s="234"/>
      <c r="H4" s="234"/>
      <c r="I4" s="234"/>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82" t="s">
        <v>4</v>
      </c>
      <c r="C6" s="282"/>
      <c r="D6" s="283"/>
      <c r="E6" s="272" t="s">
        <v>112</v>
      </c>
      <c r="F6" s="273"/>
      <c r="G6" s="273"/>
      <c r="H6" s="273"/>
      <c r="I6" s="274"/>
      <c r="J6" s="268" t="e">
        <f>IF(AND('Mapa final'!#REF!="Muy Alta",'Mapa final'!#REF!="Leve"),CONCATENATE("R",'Mapa final'!#REF!),"")</f>
        <v>#REF!</v>
      </c>
      <c r="K6" s="269"/>
      <c r="L6" s="269" t="e">
        <f>IF(AND('Mapa final'!#REF!="Muy Alta",'Mapa final'!#REF!="Leve"),CONCATENATE("R",'Mapa final'!#REF!),"")</f>
        <v>#REF!</v>
      </c>
      <c r="M6" s="269"/>
      <c r="N6" s="269" t="str">
        <f>IF(AND('Mapa final'!$H$9="Muy Alta",'Mapa final'!$L$9="Leve"),CONCATENATE("R",'Mapa final'!$A$9),"")</f>
        <v/>
      </c>
      <c r="O6" s="270"/>
      <c r="P6" s="268" t="e">
        <f>IF(AND('Mapa final'!#REF!="Muy Alta",'Mapa final'!#REF!="Menor"),CONCATENATE("R",'Mapa final'!#REF!),"")</f>
        <v>#REF!</v>
      </c>
      <c r="Q6" s="269"/>
      <c r="R6" s="269" t="e">
        <f>IF(AND('Mapa final'!#REF!="Muy Alta",'Mapa final'!#REF!="Menor"),CONCATENATE("R",'Mapa final'!#REF!),"")</f>
        <v>#REF!</v>
      </c>
      <c r="S6" s="269"/>
      <c r="T6" s="269" t="str">
        <f>IF(AND('Mapa final'!$H$9="Muy Alta",'Mapa final'!$L$9="Menor"),CONCATENATE("R",'Mapa final'!$A$9),"")</f>
        <v/>
      </c>
      <c r="U6" s="270"/>
      <c r="V6" s="268" t="e">
        <f>IF(AND('Mapa final'!#REF!="Muy Alta",'Mapa final'!#REF!="Moderado"),CONCATENATE("R",'Mapa final'!#REF!),"")</f>
        <v>#REF!</v>
      </c>
      <c r="W6" s="269"/>
      <c r="X6" s="269" t="e">
        <f>IF(AND('Mapa final'!#REF!="Muy Alta",'Mapa final'!#REF!="Moderado"),CONCATENATE("R",'Mapa final'!#REF!),"")</f>
        <v>#REF!</v>
      </c>
      <c r="Y6" s="269"/>
      <c r="Z6" s="269" t="str">
        <f>IF(AND('Mapa final'!$H$9="Muy Alta",'Mapa final'!$L$9="Moderado"),CONCATENATE("R",'Mapa final'!$A$9),"")</f>
        <v/>
      </c>
      <c r="AA6" s="270"/>
      <c r="AB6" s="268" t="e">
        <f>IF(AND('Mapa final'!#REF!="Muy Alta",'Mapa final'!#REF!="Mayor"),CONCATENATE("R",'Mapa final'!#REF!),"")</f>
        <v>#REF!</v>
      </c>
      <c r="AC6" s="269"/>
      <c r="AD6" s="269" t="e">
        <f>IF(AND('Mapa final'!#REF!="Muy Alta",'Mapa final'!#REF!="Mayor"),CONCATENATE("R",'Mapa final'!#REF!),"")</f>
        <v>#REF!</v>
      </c>
      <c r="AE6" s="269"/>
      <c r="AF6" s="269" t="str">
        <f>IF(AND('Mapa final'!$H$9="Muy Alta",'Mapa final'!$L$9="Mayor"),CONCATENATE("R",'Mapa final'!$A$9),"")</f>
        <v/>
      </c>
      <c r="AG6" s="270"/>
      <c r="AH6" s="259" t="e">
        <f>IF(AND('Mapa final'!#REF!="Muy Alta",'Mapa final'!#REF!="Catastrófico"),CONCATENATE("R",'Mapa final'!#REF!),"")</f>
        <v>#REF!</v>
      </c>
      <c r="AI6" s="260"/>
      <c r="AJ6" s="260" t="e">
        <f>IF(AND('Mapa final'!#REF!="Muy Alta",'Mapa final'!#REF!="Catastrófico"),CONCATENATE("R",'Mapa final'!#REF!),"")</f>
        <v>#REF!</v>
      </c>
      <c r="AK6" s="260"/>
      <c r="AL6" s="260" t="str">
        <f>IF(AND('Mapa final'!$H$9="Muy Alta",'Mapa final'!$L$9="Catastrófico"),CONCATENATE("R",'Mapa final'!$A$9),"")</f>
        <v/>
      </c>
      <c r="AM6" s="261"/>
      <c r="AO6" s="284" t="s">
        <v>77</v>
      </c>
      <c r="AP6" s="285"/>
      <c r="AQ6" s="285"/>
      <c r="AR6" s="285"/>
      <c r="AS6" s="285"/>
      <c r="AT6" s="286"/>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82"/>
      <c r="C7" s="282"/>
      <c r="D7" s="283"/>
      <c r="E7" s="275"/>
      <c r="F7" s="276"/>
      <c r="G7" s="276"/>
      <c r="H7" s="276"/>
      <c r="I7" s="277"/>
      <c r="J7" s="262"/>
      <c r="K7" s="263"/>
      <c r="L7" s="263"/>
      <c r="M7" s="263"/>
      <c r="N7" s="263"/>
      <c r="O7" s="264"/>
      <c r="P7" s="262"/>
      <c r="Q7" s="263"/>
      <c r="R7" s="263"/>
      <c r="S7" s="263"/>
      <c r="T7" s="263"/>
      <c r="U7" s="264"/>
      <c r="V7" s="262"/>
      <c r="W7" s="263"/>
      <c r="X7" s="263"/>
      <c r="Y7" s="263"/>
      <c r="Z7" s="263"/>
      <c r="AA7" s="264"/>
      <c r="AB7" s="262"/>
      <c r="AC7" s="263"/>
      <c r="AD7" s="263"/>
      <c r="AE7" s="263"/>
      <c r="AF7" s="263"/>
      <c r="AG7" s="264"/>
      <c r="AH7" s="253"/>
      <c r="AI7" s="254"/>
      <c r="AJ7" s="254"/>
      <c r="AK7" s="254"/>
      <c r="AL7" s="254"/>
      <c r="AM7" s="255"/>
      <c r="AN7" s="49"/>
      <c r="AO7" s="287"/>
      <c r="AP7" s="288"/>
      <c r="AQ7" s="288"/>
      <c r="AR7" s="288"/>
      <c r="AS7" s="288"/>
      <c r="AT7" s="28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82"/>
      <c r="C8" s="282"/>
      <c r="D8" s="283"/>
      <c r="E8" s="275"/>
      <c r="F8" s="276"/>
      <c r="G8" s="276"/>
      <c r="H8" s="276"/>
      <c r="I8" s="277"/>
      <c r="J8" s="262" t="str">
        <f>IF(AND('Mapa final'!$H$15="Muy Alta",'Mapa final'!$L$15="Leve"),CONCATENATE("R",'Mapa final'!$A$15),"")</f>
        <v/>
      </c>
      <c r="K8" s="263"/>
      <c r="L8" s="263" t="str">
        <f>IF(AND('Mapa final'!$H$21="Muy Alta",'Mapa final'!$L$21="Leve"),CONCATENATE("R",'Mapa final'!$A$21),"")</f>
        <v/>
      </c>
      <c r="M8" s="263"/>
      <c r="N8" s="263" t="str">
        <f>IF(AND('Mapa final'!$H$27="Muy Alta",'Mapa final'!$L$27="Leve"),CONCATENATE("R",'Mapa final'!$A$27),"")</f>
        <v/>
      </c>
      <c r="O8" s="264"/>
      <c r="P8" s="262" t="str">
        <f>IF(AND('Mapa final'!$H$15="Muy Alta",'Mapa final'!$L$15="Menor"),CONCATENATE("R",'Mapa final'!$A$15),"")</f>
        <v/>
      </c>
      <c r="Q8" s="263"/>
      <c r="R8" s="263" t="str">
        <f>IF(AND('Mapa final'!$H$21="Muy Alta",'Mapa final'!$L$21="Menor"),CONCATENATE("R",'Mapa final'!$A$21),"")</f>
        <v/>
      </c>
      <c r="S8" s="263"/>
      <c r="T8" s="263" t="str">
        <f>IF(AND('Mapa final'!$H$27="Muy Alta",'Mapa final'!$L$27="Menor"),CONCATENATE("R",'Mapa final'!$A$27),"")</f>
        <v/>
      </c>
      <c r="U8" s="264"/>
      <c r="V8" s="262" t="str">
        <f>IF(AND('Mapa final'!$H$15="Muy Alta",'Mapa final'!$L$15="Moderado"),CONCATENATE("R",'Mapa final'!$A$15),"")</f>
        <v/>
      </c>
      <c r="W8" s="263"/>
      <c r="X8" s="263" t="str">
        <f>IF(AND('Mapa final'!$H$21="Muy Alta",'Mapa final'!$L$21="Moderado"),CONCATENATE("R",'Mapa final'!$A$21),"")</f>
        <v/>
      </c>
      <c r="Y8" s="263"/>
      <c r="Z8" s="263" t="str">
        <f>IF(AND('Mapa final'!$H$27="Muy Alta",'Mapa final'!$L$27="Moderado"),CONCATENATE("R",'Mapa final'!$A$27),"")</f>
        <v/>
      </c>
      <c r="AA8" s="264"/>
      <c r="AB8" s="262" t="str">
        <f>IF(AND('Mapa final'!$H$15="Muy Alta",'Mapa final'!$L$15="Mayor"),CONCATENATE("R",'Mapa final'!$A$15),"")</f>
        <v/>
      </c>
      <c r="AC8" s="263"/>
      <c r="AD8" s="263" t="str">
        <f>IF(AND('Mapa final'!$H$21="Muy Alta",'Mapa final'!$L$21="Mayor"),CONCATENATE("R",'Mapa final'!$A$21),"")</f>
        <v/>
      </c>
      <c r="AE8" s="263"/>
      <c r="AF8" s="263" t="str">
        <f>IF(AND('Mapa final'!$H$27="Muy Alta",'Mapa final'!$L$27="Mayor"),CONCATENATE("R",'Mapa final'!$A$27),"")</f>
        <v/>
      </c>
      <c r="AG8" s="264"/>
      <c r="AH8" s="253" t="str">
        <f>IF(AND('Mapa final'!$H$15="Muy Alta",'Mapa final'!$L$15="Catastrófico"),CONCATENATE("R",'Mapa final'!$A$15),"")</f>
        <v/>
      </c>
      <c r="AI8" s="254"/>
      <c r="AJ8" s="254" t="str">
        <f>IF(AND('Mapa final'!$H$21="Muy Alta",'Mapa final'!$L$21="Catastrófico"),CONCATENATE("R",'Mapa final'!$A$21),"")</f>
        <v/>
      </c>
      <c r="AK8" s="254"/>
      <c r="AL8" s="254" t="str">
        <f>IF(AND('Mapa final'!$H$27="Muy Alta",'Mapa final'!$L$27="Catastrófico"),CONCATENATE("R",'Mapa final'!$A$27),"")</f>
        <v/>
      </c>
      <c r="AM8" s="255"/>
      <c r="AN8" s="49"/>
      <c r="AO8" s="287"/>
      <c r="AP8" s="288"/>
      <c r="AQ8" s="288"/>
      <c r="AR8" s="288"/>
      <c r="AS8" s="288"/>
      <c r="AT8" s="28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82"/>
      <c r="C9" s="282"/>
      <c r="D9" s="283"/>
      <c r="E9" s="275"/>
      <c r="F9" s="276"/>
      <c r="G9" s="276"/>
      <c r="H9" s="276"/>
      <c r="I9" s="277"/>
      <c r="J9" s="262"/>
      <c r="K9" s="263"/>
      <c r="L9" s="263"/>
      <c r="M9" s="263"/>
      <c r="N9" s="263"/>
      <c r="O9" s="264"/>
      <c r="P9" s="262"/>
      <c r="Q9" s="263"/>
      <c r="R9" s="263"/>
      <c r="S9" s="263"/>
      <c r="T9" s="263"/>
      <c r="U9" s="264"/>
      <c r="V9" s="262"/>
      <c r="W9" s="263"/>
      <c r="X9" s="263"/>
      <c r="Y9" s="263"/>
      <c r="Z9" s="263"/>
      <c r="AA9" s="264"/>
      <c r="AB9" s="262"/>
      <c r="AC9" s="263"/>
      <c r="AD9" s="263"/>
      <c r="AE9" s="263"/>
      <c r="AF9" s="263"/>
      <c r="AG9" s="264"/>
      <c r="AH9" s="253"/>
      <c r="AI9" s="254"/>
      <c r="AJ9" s="254"/>
      <c r="AK9" s="254"/>
      <c r="AL9" s="254"/>
      <c r="AM9" s="255"/>
      <c r="AN9" s="49"/>
      <c r="AO9" s="287"/>
      <c r="AP9" s="288"/>
      <c r="AQ9" s="288"/>
      <c r="AR9" s="288"/>
      <c r="AS9" s="288"/>
      <c r="AT9" s="28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82"/>
      <c r="C10" s="282"/>
      <c r="D10" s="283"/>
      <c r="E10" s="275"/>
      <c r="F10" s="276"/>
      <c r="G10" s="276"/>
      <c r="H10" s="276"/>
      <c r="I10" s="277"/>
      <c r="J10" s="262" t="str">
        <f>IF(AND('Mapa final'!$H$33="Muy Alta",'Mapa final'!$L$33="Leve"),CONCATENATE("R",'Mapa final'!$A$33),"")</f>
        <v/>
      </c>
      <c r="K10" s="263"/>
      <c r="L10" s="263" t="str">
        <f>IF(AND('Mapa final'!$H$39="Muy Alta",'Mapa final'!$L$39="Leve"),CONCATENATE("R",'Mapa final'!$A$39),"")</f>
        <v/>
      </c>
      <c r="M10" s="263"/>
      <c r="N10" s="263" t="str">
        <f>IF(AND('Mapa final'!$H$45="Muy Alta",'Mapa final'!$L$45="Leve"),CONCATENATE("R",'Mapa final'!$A$45),"")</f>
        <v/>
      </c>
      <c r="O10" s="264"/>
      <c r="P10" s="262" t="str">
        <f>IF(AND('Mapa final'!$H$33="Muy Alta",'Mapa final'!$L$33="Menor"),CONCATENATE("R",'Mapa final'!$A$33),"")</f>
        <v/>
      </c>
      <c r="Q10" s="263"/>
      <c r="R10" s="263" t="str">
        <f>IF(AND('Mapa final'!$H$39="Muy Alta",'Mapa final'!$L$39="Menor"),CONCATENATE("R",'Mapa final'!$A$39),"")</f>
        <v/>
      </c>
      <c r="S10" s="263"/>
      <c r="T10" s="263" t="str">
        <f>IF(AND('Mapa final'!$H$45="Muy Alta",'Mapa final'!$L$45="Menor"),CONCATENATE("R",'Mapa final'!$A$45),"")</f>
        <v/>
      </c>
      <c r="U10" s="264"/>
      <c r="V10" s="262" t="str">
        <f>IF(AND('Mapa final'!$H$33="Muy Alta",'Mapa final'!$L$33="Moderado"),CONCATENATE("R",'Mapa final'!$A$33),"")</f>
        <v/>
      </c>
      <c r="W10" s="263"/>
      <c r="X10" s="263" t="str">
        <f>IF(AND('Mapa final'!$H$39="Muy Alta",'Mapa final'!$L$39="Moderado"),CONCATENATE("R",'Mapa final'!$A$39),"")</f>
        <v/>
      </c>
      <c r="Y10" s="263"/>
      <c r="Z10" s="263" t="str">
        <f>IF(AND('Mapa final'!$H$45="Muy Alta",'Mapa final'!$L$45="Moderado"),CONCATENATE("R",'Mapa final'!$A$45),"")</f>
        <v/>
      </c>
      <c r="AA10" s="264"/>
      <c r="AB10" s="262" t="str">
        <f>IF(AND('Mapa final'!$H$33="Muy Alta",'Mapa final'!$L$33="Mayor"),CONCATENATE("R",'Mapa final'!$A$33),"")</f>
        <v/>
      </c>
      <c r="AC10" s="263"/>
      <c r="AD10" s="263" t="str">
        <f>IF(AND('Mapa final'!$H$39="Muy Alta",'Mapa final'!$L$39="Mayor"),CONCATENATE("R",'Mapa final'!$A$39),"")</f>
        <v/>
      </c>
      <c r="AE10" s="263"/>
      <c r="AF10" s="263" t="str">
        <f>IF(AND('Mapa final'!$H$45="Muy Alta",'Mapa final'!$L$45="Mayor"),CONCATENATE("R",'Mapa final'!$A$45),"")</f>
        <v/>
      </c>
      <c r="AG10" s="264"/>
      <c r="AH10" s="253" t="str">
        <f>IF(AND('Mapa final'!$H$33="Muy Alta",'Mapa final'!$L$33="Catastrófico"),CONCATENATE("R",'Mapa final'!$A$33),"")</f>
        <v/>
      </c>
      <c r="AI10" s="254"/>
      <c r="AJ10" s="254" t="str">
        <f>IF(AND('Mapa final'!$H$39="Muy Alta",'Mapa final'!$L$39="Catastrófico"),CONCATENATE("R",'Mapa final'!$A$39),"")</f>
        <v/>
      </c>
      <c r="AK10" s="254"/>
      <c r="AL10" s="254" t="str">
        <f>IF(AND('Mapa final'!$H$45="Muy Alta",'Mapa final'!$L$45="Catastrófico"),CONCATENATE("R",'Mapa final'!$A$45),"")</f>
        <v/>
      </c>
      <c r="AM10" s="255"/>
      <c r="AN10" s="49"/>
      <c r="AO10" s="287"/>
      <c r="AP10" s="288"/>
      <c r="AQ10" s="288"/>
      <c r="AR10" s="288"/>
      <c r="AS10" s="288"/>
      <c r="AT10" s="28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82"/>
      <c r="C11" s="282"/>
      <c r="D11" s="283"/>
      <c r="E11" s="275"/>
      <c r="F11" s="276"/>
      <c r="G11" s="276"/>
      <c r="H11" s="276"/>
      <c r="I11" s="277"/>
      <c r="J11" s="262"/>
      <c r="K11" s="263"/>
      <c r="L11" s="263"/>
      <c r="M11" s="263"/>
      <c r="N11" s="263"/>
      <c r="O11" s="264"/>
      <c r="P11" s="262"/>
      <c r="Q11" s="263"/>
      <c r="R11" s="263"/>
      <c r="S11" s="263"/>
      <c r="T11" s="263"/>
      <c r="U11" s="264"/>
      <c r="V11" s="262"/>
      <c r="W11" s="263"/>
      <c r="X11" s="263"/>
      <c r="Y11" s="263"/>
      <c r="Z11" s="263"/>
      <c r="AA11" s="264"/>
      <c r="AB11" s="262"/>
      <c r="AC11" s="263"/>
      <c r="AD11" s="263"/>
      <c r="AE11" s="263"/>
      <c r="AF11" s="263"/>
      <c r="AG11" s="264"/>
      <c r="AH11" s="253"/>
      <c r="AI11" s="254"/>
      <c r="AJ11" s="254"/>
      <c r="AK11" s="254"/>
      <c r="AL11" s="254"/>
      <c r="AM11" s="255"/>
      <c r="AN11" s="49"/>
      <c r="AO11" s="287"/>
      <c r="AP11" s="288"/>
      <c r="AQ11" s="288"/>
      <c r="AR11" s="288"/>
      <c r="AS11" s="288"/>
      <c r="AT11" s="28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82"/>
      <c r="C12" s="282"/>
      <c r="D12" s="283"/>
      <c r="E12" s="275"/>
      <c r="F12" s="276"/>
      <c r="G12" s="276"/>
      <c r="H12" s="276"/>
      <c r="I12" s="277"/>
      <c r="J12" s="262" t="str">
        <f>IF(AND('Mapa final'!$H$51="Muy Alta",'Mapa final'!$L$51="Leve"),CONCATENATE("R",'Mapa final'!$A$51),"")</f>
        <v/>
      </c>
      <c r="K12" s="263"/>
      <c r="L12" s="263" t="str">
        <f>IF(AND('Mapa final'!$H$63="Muy Alta",'Mapa final'!$L$63="Leve"),CONCATENATE("R",'Mapa final'!$A$63),"")</f>
        <v/>
      </c>
      <c r="M12" s="263"/>
      <c r="N12" s="263" t="str">
        <f>IF(AND('Mapa final'!$H$69="Muy Alta",'Mapa final'!$L$69="Leve"),CONCATENATE("R",'Mapa final'!$A$69),"")</f>
        <v/>
      </c>
      <c r="O12" s="264"/>
      <c r="P12" s="262" t="str">
        <f>IF(AND('Mapa final'!$H$51="Muy Alta",'Mapa final'!$L$51="Menor"),CONCATENATE("R",'Mapa final'!$A$51),"")</f>
        <v/>
      </c>
      <c r="Q12" s="263"/>
      <c r="R12" s="263" t="str">
        <f>IF(AND('Mapa final'!$H$63="Muy Alta",'Mapa final'!$L$63="Menor"),CONCATENATE("R",'Mapa final'!$A$63),"")</f>
        <v/>
      </c>
      <c r="S12" s="263"/>
      <c r="T12" s="263" t="str">
        <f>IF(AND('Mapa final'!$H$69="Muy Alta",'Mapa final'!$L$69="Menor"),CONCATENATE("R",'Mapa final'!$A$69),"")</f>
        <v/>
      </c>
      <c r="U12" s="264"/>
      <c r="V12" s="262" t="str">
        <f>IF(AND('Mapa final'!$H$51="Muy Alta",'Mapa final'!$L$51="Moderado"),CONCATENATE("R",'Mapa final'!$A$51),"")</f>
        <v/>
      </c>
      <c r="W12" s="263"/>
      <c r="X12" s="263" t="str">
        <f>IF(AND('Mapa final'!$H$63="Muy Alta",'Mapa final'!$L$63="Moderado"),CONCATENATE("R",'Mapa final'!$A$63),"")</f>
        <v/>
      </c>
      <c r="Y12" s="263"/>
      <c r="Z12" s="263" t="str">
        <f>IF(AND('Mapa final'!$H$69="Muy Alta",'Mapa final'!$L$69="Moderado"),CONCATENATE("R",'Mapa final'!$A$69),"")</f>
        <v/>
      </c>
      <c r="AA12" s="264"/>
      <c r="AB12" s="262" t="str">
        <f>IF(AND('Mapa final'!$H$51="Muy Alta",'Mapa final'!$L$51="Mayor"),CONCATENATE("R",'Mapa final'!$A$51),"")</f>
        <v/>
      </c>
      <c r="AC12" s="263"/>
      <c r="AD12" s="263" t="str">
        <f>IF(AND('Mapa final'!$H$63="Muy Alta",'Mapa final'!$L$63="Mayor"),CONCATENATE("R",'Mapa final'!$A$63),"")</f>
        <v/>
      </c>
      <c r="AE12" s="263"/>
      <c r="AF12" s="263" t="str">
        <f>IF(AND('Mapa final'!$H$69="Muy Alta",'Mapa final'!$L$69="Mayor"),CONCATENATE("R",'Mapa final'!$A$69),"")</f>
        <v/>
      </c>
      <c r="AG12" s="264"/>
      <c r="AH12" s="253" t="str">
        <f>IF(AND('Mapa final'!$H$51="Muy Alta",'Mapa final'!$L$51="Catastrófico"),CONCATENATE("R",'Mapa final'!$A$51),"")</f>
        <v/>
      </c>
      <c r="AI12" s="254"/>
      <c r="AJ12" s="254" t="str">
        <f>IF(AND('Mapa final'!$H$63="Muy Alta",'Mapa final'!$L$63="Catastrófico"),CONCATENATE("R",'Mapa final'!$A$63),"")</f>
        <v/>
      </c>
      <c r="AK12" s="254"/>
      <c r="AL12" s="254" t="str">
        <f>IF(AND('Mapa final'!$H$69="Muy Alta",'Mapa final'!$L$69="Catastrófico"),CONCATENATE("R",'Mapa final'!$A$69),"")</f>
        <v/>
      </c>
      <c r="AM12" s="255"/>
      <c r="AN12" s="49"/>
      <c r="AO12" s="287"/>
      <c r="AP12" s="288"/>
      <c r="AQ12" s="288"/>
      <c r="AR12" s="288"/>
      <c r="AS12" s="288"/>
      <c r="AT12" s="28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82"/>
      <c r="C13" s="282"/>
      <c r="D13" s="283"/>
      <c r="E13" s="278"/>
      <c r="F13" s="279"/>
      <c r="G13" s="279"/>
      <c r="H13" s="279"/>
      <c r="I13" s="280"/>
      <c r="J13" s="262"/>
      <c r="K13" s="263"/>
      <c r="L13" s="263"/>
      <c r="M13" s="263"/>
      <c r="N13" s="263"/>
      <c r="O13" s="264"/>
      <c r="P13" s="262"/>
      <c r="Q13" s="263"/>
      <c r="R13" s="263"/>
      <c r="S13" s="263"/>
      <c r="T13" s="263"/>
      <c r="U13" s="264"/>
      <c r="V13" s="262"/>
      <c r="W13" s="263"/>
      <c r="X13" s="263"/>
      <c r="Y13" s="263"/>
      <c r="Z13" s="263"/>
      <c r="AA13" s="264"/>
      <c r="AB13" s="262"/>
      <c r="AC13" s="263"/>
      <c r="AD13" s="263"/>
      <c r="AE13" s="263"/>
      <c r="AF13" s="263"/>
      <c r="AG13" s="264"/>
      <c r="AH13" s="256"/>
      <c r="AI13" s="257"/>
      <c r="AJ13" s="257"/>
      <c r="AK13" s="257"/>
      <c r="AL13" s="257"/>
      <c r="AM13" s="258"/>
      <c r="AN13" s="49"/>
      <c r="AO13" s="290"/>
      <c r="AP13" s="291"/>
      <c r="AQ13" s="291"/>
      <c r="AR13" s="291"/>
      <c r="AS13" s="291"/>
      <c r="AT13" s="292"/>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82"/>
      <c r="C14" s="282"/>
      <c r="D14" s="283"/>
      <c r="E14" s="272" t="s">
        <v>111</v>
      </c>
      <c r="F14" s="273"/>
      <c r="G14" s="273"/>
      <c r="H14" s="273"/>
      <c r="I14" s="273"/>
      <c r="J14" s="250" t="e">
        <f>IF(AND('Mapa final'!#REF!="Alta",'Mapa final'!#REF!="Leve"),CONCATENATE("R",'Mapa final'!#REF!),"")</f>
        <v>#REF!</v>
      </c>
      <c r="K14" s="251"/>
      <c r="L14" s="251" t="e">
        <f>IF(AND('Mapa final'!#REF!="Alta",'Mapa final'!#REF!="Leve"),CONCATENATE("R",'Mapa final'!#REF!),"")</f>
        <v>#REF!</v>
      </c>
      <c r="M14" s="251"/>
      <c r="N14" s="251" t="str">
        <f>IF(AND('Mapa final'!$H$9="Alta",'Mapa final'!$L$9="Leve"),CONCATENATE("R",'Mapa final'!$A$9),"")</f>
        <v/>
      </c>
      <c r="O14" s="252"/>
      <c r="P14" s="250" t="e">
        <f>IF(AND('Mapa final'!#REF!="Alta",'Mapa final'!#REF!="Menor"),CONCATENATE("R",'Mapa final'!#REF!),"")</f>
        <v>#REF!</v>
      </c>
      <c r="Q14" s="251"/>
      <c r="R14" s="251" t="e">
        <f>IF(AND('Mapa final'!#REF!="Alta",'Mapa final'!#REF!="Menor"),CONCATENATE("R",'Mapa final'!#REF!),"")</f>
        <v>#REF!</v>
      </c>
      <c r="S14" s="251"/>
      <c r="T14" s="251" t="str">
        <f>IF(AND('Mapa final'!$H$9="Alta",'Mapa final'!$L$9="Menor"),CONCATENATE("R",'Mapa final'!$A$9),"")</f>
        <v/>
      </c>
      <c r="U14" s="252"/>
      <c r="V14" s="268" t="e">
        <f>IF(AND('Mapa final'!#REF!="Alta",'Mapa final'!#REF!="Moderado"),CONCATENATE("R",'Mapa final'!#REF!),"")</f>
        <v>#REF!</v>
      </c>
      <c r="W14" s="269"/>
      <c r="X14" s="269" t="e">
        <f>IF(AND('Mapa final'!#REF!="Alta",'Mapa final'!#REF!="Moderado"),CONCATENATE("R",'Mapa final'!#REF!),"")</f>
        <v>#REF!</v>
      </c>
      <c r="Y14" s="269"/>
      <c r="Z14" s="269" t="str">
        <f>IF(AND('Mapa final'!$H$9="Alta",'Mapa final'!$L$9="Moderado"),CONCATENATE("R",'Mapa final'!$A$9),"")</f>
        <v/>
      </c>
      <c r="AA14" s="270"/>
      <c r="AB14" s="268" t="e">
        <f>IF(AND('Mapa final'!#REF!="Alta",'Mapa final'!#REF!="Mayor"),CONCATENATE("R",'Mapa final'!#REF!),"")</f>
        <v>#REF!</v>
      </c>
      <c r="AC14" s="269"/>
      <c r="AD14" s="269" t="e">
        <f>IF(AND('Mapa final'!#REF!="Alta",'Mapa final'!#REF!="Mayor"),CONCATENATE("R",'Mapa final'!#REF!),"")</f>
        <v>#REF!</v>
      </c>
      <c r="AE14" s="269"/>
      <c r="AF14" s="269" t="str">
        <f>IF(AND('Mapa final'!$H$9="Alta",'Mapa final'!$L$9="Mayor"),CONCATENATE("R",'Mapa final'!$A$9),"")</f>
        <v/>
      </c>
      <c r="AG14" s="270"/>
      <c r="AH14" s="259" t="e">
        <f>IF(AND('Mapa final'!#REF!="Alta",'Mapa final'!#REF!="Catastrófico"),CONCATENATE("R",'Mapa final'!#REF!),"")</f>
        <v>#REF!</v>
      </c>
      <c r="AI14" s="260"/>
      <c r="AJ14" s="260" t="e">
        <f>IF(AND('Mapa final'!#REF!="Alta",'Mapa final'!#REF!="Catastrófico"),CONCATENATE("R",'Mapa final'!#REF!),"")</f>
        <v>#REF!</v>
      </c>
      <c r="AK14" s="260"/>
      <c r="AL14" s="260" t="str">
        <f>IF(AND('Mapa final'!$H$9="Alta",'Mapa final'!$L$9="Catastrófico"),CONCATENATE("R",'Mapa final'!$A$9),"")</f>
        <v/>
      </c>
      <c r="AM14" s="261"/>
      <c r="AN14" s="49"/>
      <c r="AO14" s="293" t="s">
        <v>78</v>
      </c>
      <c r="AP14" s="294"/>
      <c r="AQ14" s="294"/>
      <c r="AR14" s="294"/>
      <c r="AS14" s="294"/>
      <c r="AT14" s="295"/>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82"/>
      <c r="C15" s="282"/>
      <c r="D15" s="283"/>
      <c r="E15" s="275"/>
      <c r="F15" s="276"/>
      <c r="G15" s="276"/>
      <c r="H15" s="276"/>
      <c r="I15" s="276"/>
      <c r="J15" s="244"/>
      <c r="K15" s="245"/>
      <c r="L15" s="245"/>
      <c r="M15" s="245"/>
      <c r="N15" s="245"/>
      <c r="O15" s="246"/>
      <c r="P15" s="244"/>
      <c r="Q15" s="245"/>
      <c r="R15" s="245"/>
      <c r="S15" s="245"/>
      <c r="T15" s="245"/>
      <c r="U15" s="246"/>
      <c r="V15" s="262"/>
      <c r="W15" s="263"/>
      <c r="X15" s="263"/>
      <c r="Y15" s="263"/>
      <c r="Z15" s="263"/>
      <c r="AA15" s="264"/>
      <c r="AB15" s="262"/>
      <c r="AC15" s="263"/>
      <c r="AD15" s="263"/>
      <c r="AE15" s="263"/>
      <c r="AF15" s="263"/>
      <c r="AG15" s="264"/>
      <c r="AH15" s="253"/>
      <c r="AI15" s="254"/>
      <c r="AJ15" s="254"/>
      <c r="AK15" s="254"/>
      <c r="AL15" s="254"/>
      <c r="AM15" s="255"/>
      <c r="AN15" s="49"/>
      <c r="AO15" s="296"/>
      <c r="AP15" s="297"/>
      <c r="AQ15" s="297"/>
      <c r="AR15" s="297"/>
      <c r="AS15" s="297"/>
      <c r="AT15" s="298"/>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82"/>
      <c r="C16" s="282"/>
      <c r="D16" s="283"/>
      <c r="E16" s="275"/>
      <c r="F16" s="276"/>
      <c r="G16" s="276"/>
      <c r="H16" s="276"/>
      <c r="I16" s="276"/>
      <c r="J16" s="244" t="str">
        <f>IF(AND('Mapa final'!$H$15="Alta",'Mapa final'!$L$15="Leve"),CONCATENATE("R",'Mapa final'!$A$15),"")</f>
        <v/>
      </c>
      <c r="K16" s="245"/>
      <c r="L16" s="245" t="str">
        <f>IF(AND('Mapa final'!$H$21="Alta",'Mapa final'!$L$21="Leve"),CONCATENATE("R",'Mapa final'!$A$21),"")</f>
        <v/>
      </c>
      <c r="M16" s="245"/>
      <c r="N16" s="245" t="str">
        <f>IF(AND('Mapa final'!$H$27="Alta",'Mapa final'!$L$27="Leve"),CONCATENATE("R",'Mapa final'!$A$27),"")</f>
        <v/>
      </c>
      <c r="O16" s="246"/>
      <c r="P16" s="244" t="str">
        <f>IF(AND('Mapa final'!$H$15="Alta",'Mapa final'!$L$15="Menor"),CONCATENATE("R",'Mapa final'!$A$15),"")</f>
        <v/>
      </c>
      <c r="Q16" s="245"/>
      <c r="R16" s="245" t="str">
        <f>IF(AND('Mapa final'!$H$21="Alta",'Mapa final'!$L$21="Menor"),CONCATENATE("R",'Mapa final'!$A$21),"")</f>
        <v/>
      </c>
      <c r="S16" s="245"/>
      <c r="T16" s="245" t="str">
        <f>IF(AND('Mapa final'!$H$27="Alta",'Mapa final'!$L$27="Menor"),CONCATENATE("R",'Mapa final'!$A$27),"")</f>
        <v/>
      </c>
      <c r="U16" s="246"/>
      <c r="V16" s="262" t="str">
        <f>IF(AND('Mapa final'!$H$15="Alta",'Mapa final'!$L$15="Moderado"),CONCATENATE("R",'Mapa final'!$A$15),"")</f>
        <v/>
      </c>
      <c r="W16" s="263"/>
      <c r="X16" s="263" t="str">
        <f>IF(AND('Mapa final'!$H$21="Alta",'Mapa final'!$L$21="Moderado"),CONCATENATE("R",'Mapa final'!$A$21),"")</f>
        <v/>
      </c>
      <c r="Y16" s="263"/>
      <c r="Z16" s="263" t="str">
        <f>IF(AND('Mapa final'!$H$27="Alta",'Mapa final'!$L$27="Moderado"),CONCATENATE("R",'Mapa final'!$A$27),"")</f>
        <v/>
      </c>
      <c r="AA16" s="264"/>
      <c r="AB16" s="262" t="str">
        <f>IF(AND('Mapa final'!$H$15="Alta",'Mapa final'!$L$15="Mayor"),CONCATENATE("R",'Mapa final'!$A$15),"")</f>
        <v/>
      </c>
      <c r="AC16" s="263"/>
      <c r="AD16" s="263" t="str">
        <f>IF(AND('Mapa final'!$H$21="Alta",'Mapa final'!$L$21="Mayor"),CONCATENATE("R",'Mapa final'!$A$21),"")</f>
        <v/>
      </c>
      <c r="AE16" s="263"/>
      <c r="AF16" s="263" t="str">
        <f>IF(AND('Mapa final'!$H$27="Alta",'Mapa final'!$L$27="Mayor"),CONCATENATE("R",'Mapa final'!$A$27),"")</f>
        <v/>
      </c>
      <c r="AG16" s="264"/>
      <c r="AH16" s="253" t="str">
        <f>IF(AND('Mapa final'!$H$15="Alta",'Mapa final'!$L$15="Catastrófico"),CONCATENATE("R",'Mapa final'!$A$15),"")</f>
        <v/>
      </c>
      <c r="AI16" s="254"/>
      <c r="AJ16" s="254" t="str">
        <f>IF(AND('Mapa final'!$H$21="Alta",'Mapa final'!$L$21="Catastrófico"),CONCATENATE("R",'Mapa final'!$A$21),"")</f>
        <v/>
      </c>
      <c r="AK16" s="254"/>
      <c r="AL16" s="254" t="str">
        <f>IF(AND('Mapa final'!$H$27="Alta",'Mapa final'!$L$27="Catastrófico"),CONCATENATE("R",'Mapa final'!$A$27),"")</f>
        <v/>
      </c>
      <c r="AM16" s="255"/>
      <c r="AN16" s="49"/>
      <c r="AO16" s="296"/>
      <c r="AP16" s="297"/>
      <c r="AQ16" s="297"/>
      <c r="AR16" s="297"/>
      <c r="AS16" s="297"/>
      <c r="AT16" s="298"/>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82"/>
      <c r="C17" s="282"/>
      <c r="D17" s="283"/>
      <c r="E17" s="275"/>
      <c r="F17" s="276"/>
      <c r="G17" s="276"/>
      <c r="H17" s="276"/>
      <c r="I17" s="276"/>
      <c r="J17" s="244"/>
      <c r="K17" s="245"/>
      <c r="L17" s="245"/>
      <c r="M17" s="245"/>
      <c r="N17" s="245"/>
      <c r="O17" s="246"/>
      <c r="P17" s="244"/>
      <c r="Q17" s="245"/>
      <c r="R17" s="245"/>
      <c r="S17" s="245"/>
      <c r="T17" s="245"/>
      <c r="U17" s="246"/>
      <c r="V17" s="262"/>
      <c r="W17" s="263"/>
      <c r="X17" s="263"/>
      <c r="Y17" s="263"/>
      <c r="Z17" s="263"/>
      <c r="AA17" s="264"/>
      <c r="AB17" s="262"/>
      <c r="AC17" s="263"/>
      <c r="AD17" s="263"/>
      <c r="AE17" s="263"/>
      <c r="AF17" s="263"/>
      <c r="AG17" s="264"/>
      <c r="AH17" s="253"/>
      <c r="AI17" s="254"/>
      <c r="AJ17" s="254"/>
      <c r="AK17" s="254"/>
      <c r="AL17" s="254"/>
      <c r="AM17" s="255"/>
      <c r="AN17" s="49"/>
      <c r="AO17" s="296"/>
      <c r="AP17" s="297"/>
      <c r="AQ17" s="297"/>
      <c r="AR17" s="297"/>
      <c r="AS17" s="297"/>
      <c r="AT17" s="298"/>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82"/>
      <c r="C18" s="282"/>
      <c r="D18" s="283"/>
      <c r="E18" s="275"/>
      <c r="F18" s="276"/>
      <c r="G18" s="276"/>
      <c r="H18" s="276"/>
      <c r="I18" s="276"/>
      <c r="J18" s="244" t="str">
        <f>IF(AND('Mapa final'!$H$33="Alta",'Mapa final'!$L$33="Leve"),CONCATENATE("R",'Mapa final'!$A$33),"")</f>
        <v/>
      </c>
      <c r="K18" s="245"/>
      <c r="L18" s="245" t="str">
        <f>IF(AND('Mapa final'!$H$39="Alta",'Mapa final'!$L$39="Leve"),CONCATENATE("R",'Mapa final'!$A$39),"")</f>
        <v/>
      </c>
      <c r="M18" s="245"/>
      <c r="N18" s="245" t="str">
        <f>IF(AND('Mapa final'!$H$45="Alta",'Mapa final'!$L$45="Leve"),CONCATENATE("R",'Mapa final'!$A$45),"")</f>
        <v/>
      </c>
      <c r="O18" s="246"/>
      <c r="P18" s="244" t="str">
        <f>IF(AND('Mapa final'!$H$33="Alta",'Mapa final'!$L$33="Menor"),CONCATENATE("R",'Mapa final'!$A$33),"")</f>
        <v/>
      </c>
      <c r="Q18" s="245"/>
      <c r="R18" s="245" t="str">
        <f>IF(AND('Mapa final'!$H$39="Alta",'Mapa final'!$L$39="Menor"),CONCATENATE("R",'Mapa final'!$A$39),"")</f>
        <v/>
      </c>
      <c r="S18" s="245"/>
      <c r="T18" s="245" t="str">
        <f>IF(AND('Mapa final'!$H$45="Alta",'Mapa final'!$L$45="Menor"),CONCATENATE("R",'Mapa final'!$A$45),"")</f>
        <v/>
      </c>
      <c r="U18" s="246"/>
      <c r="V18" s="262" t="str">
        <f>IF(AND('Mapa final'!$H$33="Alta",'Mapa final'!$L$33="Moderado"),CONCATENATE("R",'Mapa final'!$A$33),"")</f>
        <v/>
      </c>
      <c r="W18" s="263"/>
      <c r="X18" s="263" t="str">
        <f>IF(AND('Mapa final'!$H$39="Alta",'Mapa final'!$L$39="Moderado"),CONCATENATE("R",'Mapa final'!$A$39),"")</f>
        <v/>
      </c>
      <c r="Y18" s="263"/>
      <c r="Z18" s="263" t="str">
        <f>IF(AND('Mapa final'!$H$45="Alta",'Mapa final'!$L$45="Moderado"),CONCATENATE("R",'Mapa final'!$A$45),"")</f>
        <v/>
      </c>
      <c r="AA18" s="264"/>
      <c r="AB18" s="262" t="str">
        <f>IF(AND('Mapa final'!$H$33="Alta",'Mapa final'!$L$33="Mayor"),CONCATENATE("R",'Mapa final'!$A$33),"")</f>
        <v/>
      </c>
      <c r="AC18" s="263"/>
      <c r="AD18" s="263" t="str">
        <f>IF(AND('Mapa final'!$H$39="Alta",'Mapa final'!$L$39="Mayor"),CONCATENATE("R",'Mapa final'!$A$39),"")</f>
        <v/>
      </c>
      <c r="AE18" s="263"/>
      <c r="AF18" s="263" t="str">
        <f>IF(AND('Mapa final'!$H$45="Alta",'Mapa final'!$L$45="Mayor"),CONCATENATE("R",'Mapa final'!$A$45),"")</f>
        <v/>
      </c>
      <c r="AG18" s="264"/>
      <c r="AH18" s="253" t="str">
        <f>IF(AND('Mapa final'!$H$33="Alta",'Mapa final'!$L$33="Catastrófico"),CONCATENATE("R",'Mapa final'!$A$33),"")</f>
        <v/>
      </c>
      <c r="AI18" s="254"/>
      <c r="AJ18" s="254" t="str">
        <f>IF(AND('Mapa final'!$H$39="Alta",'Mapa final'!$L$39="Catastrófico"),CONCATENATE("R",'Mapa final'!$A$39),"")</f>
        <v/>
      </c>
      <c r="AK18" s="254"/>
      <c r="AL18" s="254" t="str">
        <f>IF(AND('Mapa final'!$H$45="Alta",'Mapa final'!$L$45="Catastrófico"),CONCATENATE("R",'Mapa final'!$A$45),"")</f>
        <v/>
      </c>
      <c r="AM18" s="255"/>
      <c r="AN18" s="49"/>
      <c r="AO18" s="296"/>
      <c r="AP18" s="297"/>
      <c r="AQ18" s="297"/>
      <c r="AR18" s="297"/>
      <c r="AS18" s="297"/>
      <c r="AT18" s="298"/>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82"/>
      <c r="C19" s="282"/>
      <c r="D19" s="283"/>
      <c r="E19" s="275"/>
      <c r="F19" s="276"/>
      <c r="G19" s="276"/>
      <c r="H19" s="276"/>
      <c r="I19" s="276"/>
      <c r="J19" s="244"/>
      <c r="K19" s="245"/>
      <c r="L19" s="245"/>
      <c r="M19" s="245"/>
      <c r="N19" s="245"/>
      <c r="O19" s="246"/>
      <c r="P19" s="244"/>
      <c r="Q19" s="245"/>
      <c r="R19" s="245"/>
      <c r="S19" s="245"/>
      <c r="T19" s="245"/>
      <c r="U19" s="246"/>
      <c r="V19" s="262"/>
      <c r="W19" s="263"/>
      <c r="X19" s="263"/>
      <c r="Y19" s="263"/>
      <c r="Z19" s="263"/>
      <c r="AA19" s="264"/>
      <c r="AB19" s="262"/>
      <c r="AC19" s="263"/>
      <c r="AD19" s="263"/>
      <c r="AE19" s="263"/>
      <c r="AF19" s="263"/>
      <c r="AG19" s="264"/>
      <c r="AH19" s="253"/>
      <c r="AI19" s="254"/>
      <c r="AJ19" s="254"/>
      <c r="AK19" s="254"/>
      <c r="AL19" s="254"/>
      <c r="AM19" s="255"/>
      <c r="AN19" s="49"/>
      <c r="AO19" s="296"/>
      <c r="AP19" s="297"/>
      <c r="AQ19" s="297"/>
      <c r="AR19" s="297"/>
      <c r="AS19" s="297"/>
      <c r="AT19" s="298"/>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82"/>
      <c r="C20" s="282"/>
      <c r="D20" s="283"/>
      <c r="E20" s="275"/>
      <c r="F20" s="276"/>
      <c r="G20" s="276"/>
      <c r="H20" s="276"/>
      <c r="I20" s="276"/>
      <c r="J20" s="244" t="str">
        <f>IF(AND('Mapa final'!$H$51="Alta",'Mapa final'!$L$51="Leve"),CONCATENATE("R",'Mapa final'!$A$51),"")</f>
        <v/>
      </c>
      <c r="K20" s="245"/>
      <c r="L20" s="245" t="str">
        <f>IF(AND('Mapa final'!$H$63="Alta",'Mapa final'!$L$63="Leve"),CONCATENATE("R",'Mapa final'!$A$63),"")</f>
        <v/>
      </c>
      <c r="M20" s="245"/>
      <c r="N20" s="245" t="str">
        <f>IF(AND('Mapa final'!$H$69="Alta",'Mapa final'!$L$69="Leve"),CONCATENATE("R",'Mapa final'!$A$69),"")</f>
        <v/>
      </c>
      <c r="O20" s="246"/>
      <c r="P20" s="244" t="str">
        <f>IF(AND('Mapa final'!$H$51="Alta",'Mapa final'!$L$51="Menor"),CONCATENATE("R",'Mapa final'!$A$51),"")</f>
        <v/>
      </c>
      <c r="Q20" s="245"/>
      <c r="R20" s="245" t="str">
        <f>IF(AND('Mapa final'!$H$63="Alta",'Mapa final'!$L$63="Menor"),CONCATENATE("R",'Mapa final'!$A$63),"")</f>
        <v/>
      </c>
      <c r="S20" s="245"/>
      <c r="T20" s="245" t="str">
        <f>IF(AND('Mapa final'!$H$69="Alta",'Mapa final'!$L$69="Menor"),CONCATENATE("R",'Mapa final'!$A$69),"")</f>
        <v/>
      </c>
      <c r="U20" s="246"/>
      <c r="V20" s="262" t="str">
        <f>IF(AND('Mapa final'!$H$51="Alta",'Mapa final'!$L$51="Moderado"),CONCATENATE("R",'Mapa final'!$A$51),"")</f>
        <v/>
      </c>
      <c r="W20" s="263"/>
      <c r="X20" s="263" t="str">
        <f>IF(AND('Mapa final'!$H$63="Alta",'Mapa final'!$L$63="Moderado"),CONCATENATE("R",'Mapa final'!$A$63),"")</f>
        <v/>
      </c>
      <c r="Y20" s="263"/>
      <c r="Z20" s="263" t="str">
        <f>IF(AND('Mapa final'!$H$69="Alta",'Mapa final'!$L$69="Moderado"),CONCATENATE("R",'Mapa final'!$A$69),"")</f>
        <v/>
      </c>
      <c r="AA20" s="264"/>
      <c r="AB20" s="262" t="str">
        <f>IF(AND('Mapa final'!$H$51="Alta",'Mapa final'!$L$51="Mayor"),CONCATENATE("R",'Mapa final'!$A$51),"")</f>
        <v/>
      </c>
      <c r="AC20" s="263"/>
      <c r="AD20" s="263" t="str">
        <f>IF(AND('Mapa final'!$H$63="Alta",'Mapa final'!$L$63="Mayor"),CONCATENATE("R",'Mapa final'!$A$63),"")</f>
        <v/>
      </c>
      <c r="AE20" s="263"/>
      <c r="AF20" s="263" t="str">
        <f>IF(AND('Mapa final'!$H$69="Alta",'Mapa final'!$L$69="Mayor"),CONCATENATE("R",'Mapa final'!$A$69),"")</f>
        <v/>
      </c>
      <c r="AG20" s="264"/>
      <c r="AH20" s="253" t="str">
        <f>IF(AND('Mapa final'!$H$51="Alta",'Mapa final'!$L$51="Catastrófico"),CONCATENATE("R",'Mapa final'!$A$51),"")</f>
        <v/>
      </c>
      <c r="AI20" s="254"/>
      <c r="AJ20" s="254" t="str">
        <f>IF(AND('Mapa final'!$H$63="Alta",'Mapa final'!$L$63="Catastrófico"),CONCATENATE("R",'Mapa final'!$A$63),"")</f>
        <v/>
      </c>
      <c r="AK20" s="254"/>
      <c r="AL20" s="254" t="str">
        <f>IF(AND('Mapa final'!$H$69="Alta",'Mapa final'!$L$69="Catastrófico"),CONCATENATE("R",'Mapa final'!$A$69),"")</f>
        <v/>
      </c>
      <c r="AM20" s="255"/>
      <c r="AN20" s="49"/>
      <c r="AO20" s="296"/>
      <c r="AP20" s="297"/>
      <c r="AQ20" s="297"/>
      <c r="AR20" s="297"/>
      <c r="AS20" s="297"/>
      <c r="AT20" s="298"/>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82"/>
      <c r="C21" s="282"/>
      <c r="D21" s="283"/>
      <c r="E21" s="278"/>
      <c r="F21" s="279"/>
      <c r="G21" s="279"/>
      <c r="H21" s="279"/>
      <c r="I21" s="279"/>
      <c r="J21" s="247"/>
      <c r="K21" s="248"/>
      <c r="L21" s="248"/>
      <c r="M21" s="248"/>
      <c r="N21" s="248"/>
      <c r="O21" s="249"/>
      <c r="P21" s="247"/>
      <c r="Q21" s="248"/>
      <c r="R21" s="248"/>
      <c r="S21" s="248"/>
      <c r="T21" s="248"/>
      <c r="U21" s="249"/>
      <c r="V21" s="265"/>
      <c r="W21" s="266"/>
      <c r="X21" s="266"/>
      <c r="Y21" s="266"/>
      <c r="Z21" s="266"/>
      <c r="AA21" s="267"/>
      <c r="AB21" s="265"/>
      <c r="AC21" s="266"/>
      <c r="AD21" s="266"/>
      <c r="AE21" s="266"/>
      <c r="AF21" s="266"/>
      <c r="AG21" s="267"/>
      <c r="AH21" s="256"/>
      <c r="AI21" s="257"/>
      <c r="AJ21" s="257"/>
      <c r="AK21" s="257"/>
      <c r="AL21" s="257"/>
      <c r="AM21" s="258"/>
      <c r="AN21" s="49"/>
      <c r="AO21" s="299"/>
      <c r="AP21" s="300"/>
      <c r="AQ21" s="300"/>
      <c r="AR21" s="300"/>
      <c r="AS21" s="300"/>
      <c r="AT21" s="301"/>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82"/>
      <c r="C22" s="282"/>
      <c r="D22" s="283"/>
      <c r="E22" s="272" t="s">
        <v>113</v>
      </c>
      <c r="F22" s="273"/>
      <c r="G22" s="273"/>
      <c r="H22" s="273"/>
      <c r="I22" s="274"/>
      <c r="J22" s="250" t="e">
        <f>IF(AND('Mapa final'!#REF!="Media",'Mapa final'!#REF!="Leve"),CONCATENATE("R",'Mapa final'!#REF!),"")</f>
        <v>#REF!</v>
      </c>
      <c r="K22" s="251"/>
      <c r="L22" s="251" t="e">
        <f>IF(AND('Mapa final'!#REF!="Media",'Mapa final'!#REF!="Leve"),CONCATENATE("R",'Mapa final'!#REF!),"")</f>
        <v>#REF!</v>
      </c>
      <c r="M22" s="251"/>
      <c r="N22" s="251" t="str">
        <f>IF(AND('Mapa final'!$H$9="Media",'Mapa final'!$L$9="Leve"),CONCATENATE("R",'Mapa final'!$A$9),"")</f>
        <v/>
      </c>
      <c r="O22" s="252"/>
      <c r="P22" s="250" t="e">
        <f>IF(AND('Mapa final'!#REF!="Media",'Mapa final'!#REF!="Menor"),CONCATENATE("R",'Mapa final'!#REF!),"")</f>
        <v>#REF!</v>
      </c>
      <c r="Q22" s="251"/>
      <c r="R22" s="251" t="e">
        <f>IF(AND('Mapa final'!#REF!="Media",'Mapa final'!#REF!="Menor"),CONCATENATE("R",'Mapa final'!#REF!),"")</f>
        <v>#REF!</v>
      </c>
      <c r="S22" s="251"/>
      <c r="T22" s="251" t="str">
        <f>IF(AND('Mapa final'!$H$9="Media",'Mapa final'!$L$9="Menor"),CONCATENATE("R",'Mapa final'!$A$9),"")</f>
        <v/>
      </c>
      <c r="U22" s="252"/>
      <c r="V22" s="250" t="e">
        <f>IF(AND('Mapa final'!#REF!="Media",'Mapa final'!#REF!="Moderado"),CONCATENATE("R",'Mapa final'!#REF!),"")</f>
        <v>#REF!</v>
      </c>
      <c r="W22" s="251"/>
      <c r="X22" s="251" t="e">
        <f>IF(AND('Mapa final'!#REF!="Media",'Mapa final'!#REF!="Moderado"),CONCATENATE("R",'Mapa final'!#REF!),"")</f>
        <v>#REF!</v>
      </c>
      <c r="Y22" s="251"/>
      <c r="Z22" s="251" t="str">
        <f>IF(AND('Mapa final'!$H$9="Media",'Mapa final'!$L$9="Moderado"),CONCATENATE("R",'Mapa final'!$A$9),"")</f>
        <v>R1</v>
      </c>
      <c r="AA22" s="252"/>
      <c r="AB22" s="268" t="e">
        <f>IF(AND('Mapa final'!#REF!="Media",'Mapa final'!#REF!="Mayor"),CONCATENATE("R",'Mapa final'!#REF!),"")</f>
        <v>#REF!</v>
      </c>
      <c r="AC22" s="269"/>
      <c r="AD22" s="269" t="e">
        <f>IF(AND('Mapa final'!#REF!="Media",'Mapa final'!#REF!="Mayor"),CONCATENATE("R",'Mapa final'!#REF!),"")</f>
        <v>#REF!</v>
      </c>
      <c r="AE22" s="269"/>
      <c r="AF22" s="269" t="str">
        <f>IF(AND('Mapa final'!$H$9="Media",'Mapa final'!$L$9="Mayor"),CONCATENATE("R",'Mapa final'!$A$9),"")</f>
        <v/>
      </c>
      <c r="AG22" s="270"/>
      <c r="AH22" s="259" t="e">
        <f>IF(AND('Mapa final'!#REF!="Media",'Mapa final'!#REF!="Catastrófico"),CONCATENATE("R",'Mapa final'!#REF!),"")</f>
        <v>#REF!</v>
      </c>
      <c r="AI22" s="260"/>
      <c r="AJ22" s="260" t="e">
        <f>IF(AND('Mapa final'!#REF!="Media",'Mapa final'!#REF!="Catastrófico"),CONCATENATE("R",'Mapa final'!#REF!),"")</f>
        <v>#REF!</v>
      </c>
      <c r="AK22" s="260"/>
      <c r="AL22" s="260" t="str">
        <f>IF(AND('Mapa final'!$H$9="Media",'Mapa final'!$L$9="Catastrófico"),CONCATENATE("R",'Mapa final'!$A$9),"")</f>
        <v/>
      </c>
      <c r="AM22" s="261"/>
      <c r="AN22" s="49"/>
      <c r="AO22" s="302" t="s">
        <v>79</v>
      </c>
      <c r="AP22" s="303"/>
      <c r="AQ22" s="303"/>
      <c r="AR22" s="303"/>
      <c r="AS22" s="303"/>
      <c r="AT22" s="304"/>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82"/>
      <c r="C23" s="282"/>
      <c r="D23" s="283"/>
      <c r="E23" s="275"/>
      <c r="F23" s="276"/>
      <c r="G23" s="276"/>
      <c r="H23" s="276"/>
      <c r="I23" s="277"/>
      <c r="J23" s="244"/>
      <c r="K23" s="245"/>
      <c r="L23" s="245"/>
      <c r="M23" s="245"/>
      <c r="N23" s="245"/>
      <c r="O23" s="246"/>
      <c r="P23" s="244"/>
      <c r="Q23" s="245"/>
      <c r="R23" s="245"/>
      <c r="S23" s="245"/>
      <c r="T23" s="245"/>
      <c r="U23" s="246"/>
      <c r="V23" s="244"/>
      <c r="W23" s="245"/>
      <c r="X23" s="245"/>
      <c r="Y23" s="245"/>
      <c r="Z23" s="245"/>
      <c r="AA23" s="246"/>
      <c r="AB23" s="262"/>
      <c r="AC23" s="263"/>
      <c r="AD23" s="263"/>
      <c r="AE23" s="263"/>
      <c r="AF23" s="263"/>
      <c r="AG23" s="264"/>
      <c r="AH23" s="253"/>
      <c r="AI23" s="254"/>
      <c r="AJ23" s="254"/>
      <c r="AK23" s="254"/>
      <c r="AL23" s="254"/>
      <c r="AM23" s="255"/>
      <c r="AN23" s="49"/>
      <c r="AO23" s="305"/>
      <c r="AP23" s="306"/>
      <c r="AQ23" s="306"/>
      <c r="AR23" s="306"/>
      <c r="AS23" s="306"/>
      <c r="AT23" s="307"/>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82"/>
      <c r="C24" s="282"/>
      <c r="D24" s="283"/>
      <c r="E24" s="275"/>
      <c r="F24" s="276"/>
      <c r="G24" s="276"/>
      <c r="H24" s="276"/>
      <c r="I24" s="277"/>
      <c r="J24" s="244" t="str">
        <f>IF(AND('Mapa final'!$H$15="Media",'Mapa final'!$L$15="Leve"),CONCATENATE("R",'Mapa final'!$A$15),"")</f>
        <v/>
      </c>
      <c r="K24" s="245"/>
      <c r="L24" s="245" t="str">
        <f>IF(AND('Mapa final'!$H$21="Media",'Mapa final'!$L$21="Leve"),CONCATENATE("R",'Mapa final'!$A$21),"")</f>
        <v/>
      </c>
      <c r="M24" s="245"/>
      <c r="N24" s="245" t="str">
        <f>IF(AND('Mapa final'!$H$27="Media",'Mapa final'!$L$27="Leve"),CONCATENATE("R",'Mapa final'!$A$27),"")</f>
        <v>R4</v>
      </c>
      <c r="O24" s="246"/>
      <c r="P24" s="244" t="str">
        <f>IF(AND('Mapa final'!$H$15="Media",'Mapa final'!$L$15="Menor"),CONCATENATE("R",'Mapa final'!$A$15),"")</f>
        <v/>
      </c>
      <c r="Q24" s="245"/>
      <c r="R24" s="245" t="str">
        <f>IF(AND('Mapa final'!$H$21="Media",'Mapa final'!$L$21="Menor"),CONCATENATE("R",'Mapa final'!$A$21),"")</f>
        <v>R3</v>
      </c>
      <c r="S24" s="245"/>
      <c r="T24" s="245" t="str">
        <f>IF(AND('Mapa final'!$H$27="Media",'Mapa final'!$L$27="Menor"),CONCATENATE("R",'Mapa final'!$A$27),"")</f>
        <v/>
      </c>
      <c r="U24" s="246"/>
      <c r="V24" s="244" t="str">
        <f>IF(AND('Mapa final'!$H$15="Media",'Mapa final'!$L$15="Moderado"),CONCATENATE("R",'Mapa final'!$A$15),"")</f>
        <v/>
      </c>
      <c r="W24" s="245"/>
      <c r="X24" s="245" t="str">
        <f>IF(AND('Mapa final'!$H$21="Media",'Mapa final'!$L$21="Moderado"),CONCATENATE("R",'Mapa final'!$A$21),"")</f>
        <v/>
      </c>
      <c r="Y24" s="245"/>
      <c r="Z24" s="245" t="str">
        <f>IF(AND('Mapa final'!$H$27="Media",'Mapa final'!$L$27="Moderado"),CONCATENATE("R",'Mapa final'!$A$27),"")</f>
        <v/>
      </c>
      <c r="AA24" s="246"/>
      <c r="AB24" s="262" t="str">
        <f>IF(AND('Mapa final'!$H$15="Media",'Mapa final'!$L$15="Mayor"),CONCATENATE("R",'Mapa final'!$A$15),"")</f>
        <v/>
      </c>
      <c r="AC24" s="263"/>
      <c r="AD24" s="263" t="str">
        <f>IF(AND('Mapa final'!$H$21="Media",'Mapa final'!$L$21="Mayor"),CONCATENATE("R",'Mapa final'!$A$21),"")</f>
        <v/>
      </c>
      <c r="AE24" s="263"/>
      <c r="AF24" s="263" t="str">
        <f>IF(AND('Mapa final'!$H$27="Media",'Mapa final'!$L$27="Mayor"),CONCATENATE("R",'Mapa final'!$A$27),"")</f>
        <v/>
      </c>
      <c r="AG24" s="264"/>
      <c r="AH24" s="253" t="str">
        <f>IF(AND('Mapa final'!$H$15="Media",'Mapa final'!$L$15="Catastrófico"),CONCATENATE("R",'Mapa final'!$A$15),"")</f>
        <v/>
      </c>
      <c r="AI24" s="254"/>
      <c r="AJ24" s="254" t="str">
        <f>IF(AND('Mapa final'!$H$21="Media",'Mapa final'!$L$21="Catastrófico"),CONCATENATE("R",'Mapa final'!$A$21),"")</f>
        <v/>
      </c>
      <c r="AK24" s="254"/>
      <c r="AL24" s="254" t="str">
        <f>IF(AND('Mapa final'!$H$27="Media",'Mapa final'!$L$27="Catastrófico"),CONCATENATE("R",'Mapa final'!$A$27),"")</f>
        <v/>
      </c>
      <c r="AM24" s="255"/>
      <c r="AN24" s="49"/>
      <c r="AO24" s="305"/>
      <c r="AP24" s="306"/>
      <c r="AQ24" s="306"/>
      <c r="AR24" s="306"/>
      <c r="AS24" s="306"/>
      <c r="AT24" s="307"/>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82"/>
      <c r="C25" s="282"/>
      <c r="D25" s="283"/>
      <c r="E25" s="275"/>
      <c r="F25" s="276"/>
      <c r="G25" s="276"/>
      <c r="H25" s="276"/>
      <c r="I25" s="277"/>
      <c r="J25" s="244"/>
      <c r="K25" s="245"/>
      <c r="L25" s="245"/>
      <c r="M25" s="245"/>
      <c r="N25" s="245"/>
      <c r="O25" s="246"/>
      <c r="P25" s="244"/>
      <c r="Q25" s="245"/>
      <c r="R25" s="245"/>
      <c r="S25" s="245"/>
      <c r="T25" s="245"/>
      <c r="U25" s="246"/>
      <c r="V25" s="244"/>
      <c r="W25" s="245"/>
      <c r="X25" s="245"/>
      <c r="Y25" s="245"/>
      <c r="Z25" s="245"/>
      <c r="AA25" s="246"/>
      <c r="AB25" s="262"/>
      <c r="AC25" s="263"/>
      <c r="AD25" s="263"/>
      <c r="AE25" s="263"/>
      <c r="AF25" s="263"/>
      <c r="AG25" s="264"/>
      <c r="AH25" s="253"/>
      <c r="AI25" s="254"/>
      <c r="AJ25" s="254"/>
      <c r="AK25" s="254"/>
      <c r="AL25" s="254"/>
      <c r="AM25" s="255"/>
      <c r="AN25" s="49"/>
      <c r="AO25" s="305"/>
      <c r="AP25" s="306"/>
      <c r="AQ25" s="306"/>
      <c r="AR25" s="306"/>
      <c r="AS25" s="306"/>
      <c r="AT25" s="307"/>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82"/>
      <c r="C26" s="282"/>
      <c r="D26" s="283"/>
      <c r="E26" s="275"/>
      <c r="F26" s="276"/>
      <c r="G26" s="276"/>
      <c r="H26" s="276"/>
      <c r="I26" s="277"/>
      <c r="J26" s="244" t="str">
        <f>IF(AND('Mapa final'!$H$33="Media",'Mapa final'!$L$33="Leve"),CONCATENATE("R",'Mapa final'!$A$33),"")</f>
        <v/>
      </c>
      <c r="K26" s="245"/>
      <c r="L26" s="245" t="str">
        <f>IF(AND('Mapa final'!$H$39="Media",'Mapa final'!$L$39="Leve"),CONCATENATE("R",'Mapa final'!$A$39),"")</f>
        <v/>
      </c>
      <c r="M26" s="245"/>
      <c r="N26" s="245" t="str">
        <f>IF(AND('Mapa final'!$H$45="Media",'Mapa final'!$L$45="Leve"),CONCATENATE("R",'Mapa final'!$A$45),"")</f>
        <v/>
      </c>
      <c r="O26" s="246"/>
      <c r="P26" s="244" t="str">
        <f>IF(AND('Mapa final'!$H$33="Media",'Mapa final'!$L$33="Menor"),CONCATENATE("R",'Mapa final'!$A$33),"")</f>
        <v/>
      </c>
      <c r="Q26" s="245"/>
      <c r="R26" s="245" t="str">
        <f>IF(AND('Mapa final'!$H$39="Media",'Mapa final'!$L$39="Menor"),CONCATENATE("R",'Mapa final'!$A$39),"")</f>
        <v/>
      </c>
      <c r="S26" s="245"/>
      <c r="T26" s="245" t="str">
        <f>IF(AND('Mapa final'!$H$45="Media",'Mapa final'!$L$45="Menor"),CONCATENATE("R",'Mapa final'!$A$45),"")</f>
        <v/>
      </c>
      <c r="U26" s="246"/>
      <c r="V26" s="244" t="str">
        <f>IF(AND('Mapa final'!$H$33="Media",'Mapa final'!$L$33="Moderado"),CONCATENATE("R",'Mapa final'!$A$33),"")</f>
        <v/>
      </c>
      <c r="W26" s="245"/>
      <c r="X26" s="245" t="str">
        <f>IF(AND('Mapa final'!$H$39="Media",'Mapa final'!$L$39="Moderado"),CONCATENATE("R",'Mapa final'!$A$39),"")</f>
        <v>R6</v>
      </c>
      <c r="Y26" s="245"/>
      <c r="Z26" s="245" t="str">
        <f>IF(AND('Mapa final'!$H$45="Media",'Mapa final'!$L$45="Moderado"),CONCATENATE("R",'Mapa final'!$A$45),"")</f>
        <v/>
      </c>
      <c r="AA26" s="246"/>
      <c r="AB26" s="262" t="str">
        <f>IF(AND('Mapa final'!$H$33="Media",'Mapa final'!$L$33="Mayor"),CONCATENATE("R",'Mapa final'!$A$33),"")</f>
        <v/>
      </c>
      <c r="AC26" s="263"/>
      <c r="AD26" s="263" t="str">
        <f>IF(AND('Mapa final'!$H$39="Media",'Mapa final'!$L$39="Mayor"),CONCATENATE("R",'Mapa final'!$A$39),"")</f>
        <v/>
      </c>
      <c r="AE26" s="263"/>
      <c r="AF26" s="263" t="str">
        <f>IF(AND('Mapa final'!$H$45="Media",'Mapa final'!$L$45="Mayor"),CONCATENATE("R",'Mapa final'!$A$45),"")</f>
        <v/>
      </c>
      <c r="AG26" s="264"/>
      <c r="AH26" s="253" t="str">
        <f>IF(AND('Mapa final'!$H$33="Media",'Mapa final'!$L$33="Catastrófico"),CONCATENATE("R",'Mapa final'!$A$33),"")</f>
        <v/>
      </c>
      <c r="AI26" s="254"/>
      <c r="AJ26" s="254" t="str">
        <f>IF(AND('Mapa final'!$H$39="Media",'Mapa final'!$L$39="Catastrófico"),CONCATENATE("R",'Mapa final'!$A$39),"")</f>
        <v/>
      </c>
      <c r="AK26" s="254"/>
      <c r="AL26" s="254" t="str">
        <f>IF(AND('Mapa final'!$H$45="Media",'Mapa final'!$L$45="Catastrófico"),CONCATENATE("R",'Mapa final'!$A$45),"")</f>
        <v/>
      </c>
      <c r="AM26" s="255"/>
      <c r="AN26" s="49"/>
      <c r="AO26" s="305"/>
      <c r="AP26" s="306"/>
      <c r="AQ26" s="306"/>
      <c r="AR26" s="306"/>
      <c r="AS26" s="306"/>
      <c r="AT26" s="307"/>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82"/>
      <c r="C27" s="282"/>
      <c r="D27" s="283"/>
      <c r="E27" s="275"/>
      <c r="F27" s="276"/>
      <c r="G27" s="276"/>
      <c r="H27" s="276"/>
      <c r="I27" s="277"/>
      <c r="J27" s="244"/>
      <c r="K27" s="245"/>
      <c r="L27" s="245"/>
      <c r="M27" s="245"/>
      <c r="N27" s="245"/>
      <c r="O27" s="246"/>
      <c r="P27" s="244"/>
      <c r="Q27" s="245"/>
      <c r="R27" s="245"/>
      <c r="S27" s="245"/>
      <c r="T27" s="245"/>
      <c r="U27" s="246"/>
      <c r="V27" s="244"/>
      <c r="W27" s="245"/>
      <c r="X27" s="245"/>
      <c r="Y27" s="245"/>
      <c r="Z27" s="245"/>
      <c r="AA27" s="246"/>
      <c r="AB27" s="262"/>
      <c r="AC27" s="263"/>
      <c r="AD27" s="263"/>
      <c r="AE27" s="263"/>
      <c r="AF27" s="263"/>
      <c r="AG27" s="264"/>
      <c r="AH27" s="253"/>
      <c r="AI27" s="254"/>
      <c r="AJ27" s="254"/>
      <c r="AK27" s="254"/>
      <c r="AL27" s="254"/>
      <c r="AM27" s="255"/>
      <c r="AN27" s="49"/>
      <c r="AO27" s="305"/>
      <c r="AP27" s="306"/>
      <c r="AQ27" s="306"/>
      <c r="AR27" s="306"/>
      <c r="AS27" s="306"/>
      <c r="AT27" s="307"/>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82"/>
      <c r="C28" s="282"/>
      <c r="D28" s="283"/>
      <c r="E28" s="275"/>
      <c r="F28" s="276"/>
      <c r="G28" s="276"/>
      <c r="H28" s="276"/>
      <c r="I28" s="277"/>
      <c r="J28" s="244" t="str">
        <f>IF(AND('Mapa final'!$H$51="Media",'Mapa final'!$L$51="Leve"),CONCATENATE("R",'Mapa final'!$A$51),"")</f>
        <v/>
      </c>
      <c r="K28" s="245"/>
      <c r="L28" s="245" t="str">
        <f>IF(AND('Mapa final'!$H$63="Media",'Mapa final'!$L$63="Leve"),CONCATENATE("R",'Mapa final'!$A$63),"")</f>
        <v/>
      </c>
      <c r="M28" s="245"/>
      <c r="N28" s="245" t="str">
        <f>IF(AND('Mapa final'!$H$69="Media",'Mapa final'!$L$69="Leve"),CONCATENATE("R",'Mapa final'!$A$69),"")</f>
        <v/>
      </c>
      <c r="O28" s="246"/>
      <c r="P28" s="244" t="str">
        <f>IF(AND('Mapa final'!$H$51="Media",'Mapa final'!$L$51="Menor"),CONCATENATE("R",'Mapa final'!$A$51),"")</f>
        <v>R8</v>
      </c>
      <c r="Q28" s="245"/>
      <c r="R28" s="245" t="str">
        <f>IF(AND('Mapa final'!$H$63="Media",'Mapa final'!$L$63="Menor"),CONCATENATE("R",'Mapa final'!$A$63),"")</f>
        <v/>
      </c>
      <c r="S28" s="245"/>
      <c r="T28" s="245" t="str">
        <f>IF(AND('Mapa final'!$H$69="Media",'Mapa final'!$L$69="Menor"),CONCATENATE("R",'Mapa final'!$A$69),"")</f>
        <v/>
      </c>
      <c r="U28" s="246"/>
      <c r="V28" s="244" t="str">
        <f>IF(AND('Mapa final'!$H$51="Media",'Mapa final'!$L$51="Moderado"),CONCATENATE("R",'Mapa final'!$A$51),"")</f>
        <v/>
      </c>
      <c r="W28" s="245"/>
      <c r="X28" s="245" t="str">
        <f>IF(AND('Mapa final'!$H$63="Media",'Mapa final'!$L$63="Moderado"),CONCATENATE("R",'Mapa final'!$A$63),"")</f>
        <v/>
      </c>
      <c r="Y28" s="245"/>
      <c r="Z28" s="245" t="str">
        <f>IF(AND('Mapa final'!$H$69="Media",'Mapa final'!$L$69="Moderado"),CONCATENATE("R",'Mapa final'!$A$69),"")</f>
        <v/>
      </c>
      <c r="AA28" s="246"/>
      <c r="AB28" s="262" t="str">
        <f>IF(AND('Mapa final'!$H$51="Media",'Mapa final'!$L$51="Mayor"),CONCATENATE("R",'Mapa final'!$A$51),"")</f>
        <v/>
      </c>
      <c r="AC28" s="263"/>
      <c r="AD28" s="263" t="str">
        <f>IF(AND('Mapa final'!$H$63="Media",'Mapa final'!$L$63="Mayor"),CONCATENATE("R",'Mapa final'!$A$63),"")</f>
        <v/>
      </c>
      <c r="AE28" s="263"/>
      <c r="AF28" s="263" t="str">
        <f>IF(AND('Mapa final'!$H$69="Media",'Mapa final'!$L$69="Mayor"),CONCATENATE("R",'Mapa final'!$A$69),"")</f>
        <v/>
      </c>
      <c r="AG28" s="264"/>
      <c r="AH28" s="253" t="str">
        <f>IF(AND('Mapa final'!$H$51="Media",'Mapa final'!$L$51="Catastrófico"),CONCATENATE("R",'Mapa final'!$A$51),"")</f>
        <v/>
      </c>
      <c r="AI28" s="254"/>
      <c r="AJ28" s="254" t="str">
        <f>IF(AND('Mapa final'!$H$63="Media",'Mapa final'!$L$63="Catastrófico"),CONCATENATE("R",'Mapa final'!$A$63),"")</f>
        <v/>
      </c>
      <c r="AK28" s="254"/>
      <c r="AL28" s="254" t="str">
        <f>IF(AND('Mapa final'!$H$69="Media",'Mapa final'!$L$69="Catastrófico"),CONCATENATE("R",'Mapa final'!$A$69),"")</f>
        <v/>
      </c>
      <c r="AM28" s="255"/>
      <c r="AN28" s="49"/>
      <c r="AO28" s="305"/>
      <c r="AP28" s="306"/>
      <c r="AQ28" s="306"/>
      <c r="AR28" s="306"/>
      <c r="AS28" s="306"/>
      <c r="AT28" s="307"/>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82"/>
      <c r="C29" s="282"/>
      <c r="D29" s="283"/>
      <c r="E29" s="278"/>
      <c r="F29" s="279"/>
      <c r="G29" s="279"/>
      <c r="H29" s="279"/>
      <c r="I29" s="280"/>
      <c r="J29" s="244"/>
      <c r="K29" s="245"/>
      <c r="L29" s="245"/>
      <c r="M29" s="245"/>
      <c r="N29" s="245"/>
      <c r="O29" s="246"/>
      <c r="P29" s="247"/>
      <c r="Q29" s="248"/>
      <c r="R29" s="248"/>
      <c r="S29" s="248"/>
      <c r="T29" s="248"/>
      <c r="U29" s="249"/>
      <c r="V29" s="247"/>
      <c r="W29" s="248"/>
      <c r="X29" s="248"/>
      <c r="Y29" s="248"/>
      <c r="Z29" s="248"/>
      <c r="AA29" s="249"/>
      <c r="AB29" s="265"/>
      <c r="AC29" s="266"/>
      <c r="AD29" s="266"/>
      <c r="AE29" s="266"/>
      <c r="AF29" s="266"/>
      <c r="AG29" s="267"/>
      <c r="AH29" s="256"/>
      <c r="AI29" s="257"/>
      <c r="AJ29" s="257"/>
      <c r="AK29" s="257"/>
      <c r="AL29" s="257"/>
      <c r="AM29" s="258"/>
      <c r="AN29" s="49"/>
      <c r="AO29" s="308"/>
      <c r="AP29" s="309"/>
      <c r="AQ29" s="309"/>
      <c r="AR29" s="309"/>
      <c r="AS29" s="309"/>
      <c r="AT29" s="310"/>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82"/>
      <c r="C30" s="282"/>
      <c r="D30" s="283"/>
      <c r="E30" s="272" t="s">
        <v>110</v>
      </c>
      <c r="F30" s="273"/>
      <c r="G30" s="273"/>
      <c r="H30" s="273"/>
      <c r="I30" s="273"/>
      <c r="J30" s="241" t="e">
        <f>IF(AND('Mapa final'!#REF!="Baja",'Mapa final'!#REF!="Leve"),CONCATENATE("R",'Mapa final'!#REF!),"")</f>
        <v>#REF!</v>
      </c>
      <c r="K30" s="242"/>
      <c r="L30" s="242" t="e">
        <f>IF(AND('Mapa final'!#REF!="Baja",'Mapa final'!#REF!="Leve"),CONCATENATE("R",'Mapa final'!#REF!),"")</f>
        <v>#REF!</v>
      </c>
      <c r="M30" s="242"/>
      <c r="N30" s="242" t="str">
        <f>IF(AND('Mapa final'!$H$9="Baja",'Mapa final'!$L$9="Leve"),CONCATENATE("R",'Mapa final'!$A$9),"")</f>
        <v/>
      </c>
      <c r="O30" s="243"/>
      <c r="P30" s="251" t="e">
        <f>IF(AND('Mapa final'!#REF!="Baja",'Mapa final'!#REF!="Menor"),CONCATENATE("R",'Mapa final'!#REF!),"")</f>
        <v>#REF!</v>
      </c>
      <c r="Q30" s="251"/>
      <c r="R30" s="251" t="e">
        <f>IF(AND('Mapa final'!#REF!="Baja",'Mapa final'!#REF!="Menor"),CONCATENATE("R",'Mapa final'!#REF!),"")</f>
        <v>#REF!</v>
      </c>
      <c r="S30" s="251"/>
      <c r="T30" s="251" t="str">
        <f>IF(AND('Mapa final'!$H$9="Baja",'Mapa final'!$L$9="Menor"),CONCATENATE("R",'Mapa final'!$A$9),"")</f>
        <v/>
      </c>
      <c r="U30" s="252"/>
      <c r="V30" s="250" t="e">
        <f>IF(AND('Mapa final'!#REF!="Baja",'Mapa final'!#REF!="Moderado"),CONCATENATE("R",'Mapa final'!#REF!),"")</f>
        <v>#REF!</v>
      </c>
      <c r="W30" s="251"/>
      <c r="X30" s="251" t="e">
        <f>IF(AND('Mapa final'!#REF!="Baja",'Mapa final'!#REF!="Moderado"),CONCATENATE("R",'Mapa final'!#REF!),"")</f>
        <v>#REF!</v>
      </c>
      <c r="Y30" s="251"/>
      <c r="Z30" s="251" t="str">
        <f>IF(AND('Mapa final'!$H$9="Baja",'Mapa final'!$L$9="Moderado"),CONCATENATE("R",'Mapa final'!$A$9),"")</f>
        <v/>
      </c>
      <c r="AA30" s="252"/>
      <c r="AB30" s="268" t="e">
        <f>IF(AND('Mapa final'!#REF!="Baja",'Mapa final'!#REF!="Mayor"),CONCATENATE("R",'Mapa final'!#REF!),"")</f>
        <v>#REF!</v>
      </c>
      <c r="AC30" s="269"/>
      <c r="AD30" s="269" t="e">
        <f>IF(AND('Mapa final'!#REF!="Baja",'Mapa final'!#REF!="Mayor"),CONCATENATE("R",'Mapa final'!#REF!),"")</f>
        <v>#REF!</v>
      </c>
      <c r="AE30" s="269"/>
      <c r="AF30" s="269" t="str">
        <f>IF(AND('Mapa final'!$H$9="Baja",'Mapa final'!$L$9="Mayor"),CONCATENATE("R",'Mapa final'!$A$9),"")</f>
        <v/>
      </c>
      <c r="AG30" s="270"/>
      <c r="AH30" s="259" t="e">
        <f>IF(AND('Mapa final'!#REF!="Baja",'Mapa final'!#REF!="Catastrófico"),CONCATENATE("R",'Mapa final'!#REF!),"")</f>
        <v>#REF!</v>
      </c>
      <c r="AI30" s="260"/>
      <c r="AJ30" s="260" t="e">
        <f>IF(AND('Mapa final'!#REF!="Baja",'Mapa final'!#REF!="Catastrófico"),CONCATENATE("R",'Mapa final'!#REF!),"")</f>
        <v>#REF!</v>
      </c>
      <c r="AK30" s="260"/>
      <c r="AL30" s="260" t="str">
        <f>IF(AND('Mapa final'!$H$9="Baja",'Mapa final'!$L$9="Catastrófico"),CONCATENATE("R",'Mapa final'!$A$9),"")</f>
        <v/>
      </c>
      <c r="AM30" s="261"/>
      <c r="AN30" s="49"/>
      <c r="AO30" s="311" t="s">
        <v>80</v>
      </c>
      <c r="AP30" s="312"/>
      <c r="AQ30" s="312"/>
      <c r="AR30" s="312"/>
      <c r="AS30" s="312"/>
      <c r="AT30" s="313"/>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82"/>
      <c r="C31" s="282"/>
      <c r="D31" s="283"/>
      <c r="E31" s="275"/>
      <c r="F31" s="276"/>
      <c r="G31" s="276"/>
      <c r="H31" s="276"/>
      <c r="I31" s="276"/>
      <c r="J31" s="235"/>
      <c r="K31" s="236"/>
      <c r="L31" s="236"/>
      <c r="M31" s="236"/>
      <c r="N31" s="236"/>
      <c r="O31" s="237"/>
      <c r="P31" s="245"/>
      <c r="Q31" s="245"/>
      <c r="R31" s="245"/>
      <c r="S31" s="245"/>
      <c r="T31" s="245"/>
      <c r="U31" s="246"/>
      <c r="V31" s="244"/>
      <c r="W31" s="245"/>
      <c r="X31" s="245"/>
      <c r="Y31" s="245"/>
      <c r="Z31" s="245"/>
      <c r="AA31" s="246"/>
      <c r="AB31" s="262"/>
      <c r="AC31" s="263"/>
      <c r="AD31" s="263"/>
      <c r="AE31" s="263"/>
      <c r="AF31" s="263"/>
      <c r="AG31" s="264"/>
      <c r="AH31" s="253"/>
      <c r="AI31" s="254"/>
      <c r="AJ31" s="254"/>
      <c r="AK31" s="254"/>
      <c r="AL31" s="254"/>
      <c r="AM31" s="255"/>
      <c r="AN31" s="49"/>
      <c r="AO31" s="314"/>
      <c r="AP31" s="315"/>
      <c r="AQ31" s="315"/>
      <c r="AR31" s="315"/>
      <c r="AS31" s="315"/>
      <c r="AT31" s="316"/>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82"/>
      <c r="C32" s="282"/>
      <c r="D32" s="283"/>
      <c r="E32" s="275"/>
      <c r="F32" s="276"/>
      <c r="G32" s="276"/>
      <c r="H32" s="276"/>
      <c r="I32" s="276"/>
      <c r="J32" s="235" t="str">
        <f>IF(AND('Mapa final'!$H$15="Baja",'Mapa final'!$L$15="Leve"),CONCATENATE("R",'Mapa final'!$A$15),"")</f>
        <v/>
      </c>
      <c r="K32" s="236"/>
      <c r="L32" s="236" t="str">
        <f>IF(AND('Mapa final'!$H$21="Baja",'Mapa final'!$L$21="Leve"),CONCATENATE("R",'Mapa final'!$A$21),"")</f>
        <v/>
      </c>
      <c r="M32" s="236"/>
      <c r="N32" s="236" t="str">
        <f>IF(AND('Mapa final'!$H$27="Baja",'Mapa final'!$L$27="Leve"),CONCATENATE("R",'Mapa final'!$A$27),"")</f>
        <v/>
      </c>
      <c r="O32" s="237"/>
      <c r="P32" s="245" t="str">
        <f>IF(AND('Mapa final'!$H$15="Baja",'Mapa final'!$L$15="Menor"),CONCATENATE("R",'Mapa final'!$A$15),"")</f>
        <v>R2</v>
      </c>
      <c r="Q32" s="245"/>
      <c r="R32" s="245" t="str">
        <f>IF(AND('Mapa final'!$H$21="Baja",'Mapa final'!$L$21="Menor"),CONCATENATE("R",'Mapa final'!$A$21),"")</f>
        <v/>
      </c>
      <c r="S32" s="245"/>
      <c r="T32" s="245" t="str">
        <f>IF(AND('Mapa final'!$H$27="Baja",'Mapa final'!$L$27="Menor"),CONCATENATE("R",'Mapa final'!$A$27),"")</f>
        <v/>
      </c>
      <c r="U32" s="246"/>
      <c r="V32" s="244" t="str">
        <f>IF(AND('Mapa final'!$H$15="Baja",'Mapa final'!$L$15="Moderado"),CONCATENATE("R",'Mapa final'!$A$15),"")</f>
        <v/>
      </c>
      <c r="W32" s="245"/>
      <c r="X32" s="245" t="str">
        <f>IF(AND('Mapa final'!$H$21="Baja",'Mapa final'!$L$21="Moderado"),CONCATENATE("R",'Mapa final'!$A$21),"")</f>
        <v/>
      </c>
      <c r="Y32" s="245"/>
      <c r="Z32" s="245" t="str">
        <f>IF(AND('Mapa final'!$H$27="Baja",'Mapa final'!$L$27="Moderado"),CONCATENATE("R",'Mapa final'!$A$27),"")</f>
        <v/>
      </c>
      <c r="AA32" s="246"/>
      <c r="AB32" s="262" t="str">
        <f>IF(AND('Mapa final'!$H$15="Baja",'Mapa final'!$L$15="Mayor"),CONCATENATE("R",'Mapa final'!$A$15),"")</f>
        <v/>
      </c>
      <c r="AC32" s="263"/>
      <c r="AD32" s="263" t="str">
        <f>IF(AND('Mapa final'!$H$21="Baja",'Mapa final'!$L$21="Mayor"),CONCATENATE("R",'Mapa final'!$A$21),"")</f>
        <v/>
      </c>
      <c r="AE32" s="263"/>
      <c r="AF32" s="263" t="str">
        <f>IF(AND('Mapa final'!$H$27="Baja",'Mapa final'!$L$27="Mayor"),CONCATENATE("R",'Mapa final'!$A$27),"")</f>
        <v/>
      </c>
      <c r="AG32" s="264"/>
      <c r="AH32" s="253" t="str">
        <f>IF(AND('Mapa final'!$H$15="Baja",'Mapa final'!$L$15="Catastrófico"),CONCATENATE("R",'Mapa final'!$A$15),"")</f>
        <v/>
      </c>
      <c r="AI32" s="254"/>
      <c r="AJ32" s="254" t="str">
        <f>IF(AND('Mapa final'!$H$21="Baja",'Mapa final'!$L$21="Catastrófico"),CONCATENATE("R",'Mapa final'!$A$21),"")</f>
        <v/>
      </c>
      <c r="AK32" s="254"/>
      <c r="AL32" s="254" t="str">
        <f>IF(AND('Mapa final'!$H$27="Baja",'Mapa final'!$L$27="Catastrófico"),CONCATENATE("R",'Mapa final'!$A$27),"")</f>
        <v/>
      </c>
      <c r="AM32" s="255"/>
      <c r="AN32" s="49"/>
      <c r="AO32" s="314"/>
      <c r="AP32" s="315"/>
      <c r="AQ32" s="315"/>
      <c r="AR32" s="315"/>
      <c r="AS32" s="315"/>
      <c r="AT32" s="316"/>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82"/>
      <c r="C33" s="282"/>
      <c r="D33" s="283"/>
      <c r="E33" s="275"/>
      <c r="F33" s="276"/>
      <c r="G33" s="276"/>
      <c r="H33" s="276"/>
      <c r="I33" s="276"/>
      <c r="J33" s="235"/>
      <c r="K33" s="236"/>
      <c r="L33" s="236"/>
      <c r="M33" s="236"/>
      <c r="N33" s="236"/>
      <c r="O33" s="237"/>
      <c r="P33" s="245"/>
      <c r="Q33" s="245"/>
      <c r="R33" s="245"/>
      <c r="S33" s="245"/>
      <c r="T33" s="245"/>
      <c r="U33" s="246"/>
      <c r="V33" s="244"/>
      <c r="W33" s="245"/>
      <c r="X33" s="245"/>
      <c r="Y33" s="245"/>
      <c r="Z33" s="245"/>
      <c r="AA33" s="246"/>
      <c r="AB33" s="262"/>
      <c r="AC33" s="263"/>
      <c r="AD33" s="263"/>
      <c r="AE33" s="263"/>
      <c r="AF33" s="263"/>
      <c r="AG33" s="264"/>
      <c r="AH33" s="253"/>
      <c r="AI33" s="254"/>
      <c r="AJ33" s="254"/>
      <c r="AK33" s="254"/>
      <c r="AL33" s="254"/>
      <c r="AM33" s="255"/>
      <c r="AN33" s="49"/>
      <c r="AO33" s="314"/>
      <c r="AP33" s="315"/>
      <c r="AQ33" s="315"/>
      <c r="AR33" s="315"/>
      <c r="AS33" s="315"/>
      <c r="AT33" s="316"/>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82"/>
      <c r="C34" s="282"/>
      <c r="D34" s="283"/>
      <c r="E34" s="275"/>
      <c r="F34" s="276"/>
      <c r="G34" s="276"/>
      <c r="H34" s="276"/>
      <c r="I34" s="276"/>
      <c r="J34" s="235" t="str">
        <f>IF(AND('Mapa final'!$H$33="Baja",'Mapa final'!$L$33="Leve"),CONCATENATE("R",'Mapa final'!$A$33),"")</f>
        <v/>
      </c>
      <c r="K34" s="236"/>
      <c r="L34" s="236" t="str">
        <f>IF(AND('Mapa final'!$H$39="Baja",'Mapa final'!$L$39="Leve"),CONCATENATE("R",'Mapa final'!$A$39),"")</f>
        <v/>
      </c>
      <c r="M34" s="236"/>
      <c r="N34" s="236" t="str">
        <f>IF(AND('Mapa final'!$H$45="Baja",'Mapa final'!$L$45="Leve"),CONCATENATE("R",'Mapa final'!$A$45),"")</f>
        <v/>
      </c>
      <c r="O34" s="237"/>
      <c r="P34" s="245" t="str">
        <f>IF(AND('Mapa final'!$H$33="Baja",'Mapa final'!$L$33="Menor"),CONCATENATE("R",'Mapa final'!$A$33),"")</f>
        <v/>
      </c>
      <c r="Q34" s="245"/>
      <c r="R34" s="245" t="str">
        <f>IF(AND('Mapa final'!$H$39="Baja",'Mapa final'!$L$39="Menor"),CONCATENATE("R",'Mapa final'!$A$39),"")</f>
        <v/>
      </c>
      <c r="S34" s="245"/>
      <c r="T34" s="245" t="str">
        <f>IF(AND('Mapa final'!$H$45="Baja",'Mapa final'!$L$45="Menor"),CONCATENATE("R",'Mapa final'!$A$45),"")</f>
        <v/>
      </c>
      <c r="U34" s="246"/>
      <c r="V34" s="244" t="str">
        <f>IF(AND('Mapa final'!$H$33="Baja",'Mapa final'!$L$33="Moderado"),CONCATENATE("R",'Mapa final'!$A$33),"")</f>
        <v/>
      </c>
      <c r="W34" s="245"/>
      <c r="X34" s="245" t="str">
        <f>IF(AND('Mapa final'!$H$39="Baja",'Mapa final'!$L$39="Moderado"),CONCATENATE("R",'Mapa final'!$A$39),"")</f>
        <v/>
      </c>
      <c r="Y34" s="245"/>
      <c r="Z34" s="245" t="str">
        <f>IF(AND('Mapa final'!$H$45="Baja",'Mapa final'!$L$45="Moderado"),CONCATENATE("R",'Mapa final'!$A$45),"")</f>
        <v/>
      </c>
      <c r="AA34" s="246"/>
      <c r="AB34" s="262" t="str">
        <f>IF(AND('Mapa final'!$H$33="Baja",'Mapa final'!$L$33="Mayor"),CONCATENATE("R",'Mapa final'!$A$33),"")</f>
        <v/>
      </c>
      <c r="AC34" s="263"/>
      <c r="AD34" s="263" t="str">
        <f>IF(AND('Mapa final'!$H$39="Baja",'Mapa final'!$L$39="Mayor"),CONCATENATE("R",'Mapa final'!$A$39),"")</f>
        <v/>
      </c>
      <c r="AE34" s="263"/>
      <c r="AF34" s="263" t="str">
        <f>IF(AND('Mapa final'!$H$45="Baja",'Mapa final'!$L$45="Mayor"),CONCATENATE("R",'Mapa final'!$A$45),"")</f>
        <v>R7</v>
      </c>
      <c r="AG34" s="264"/>
      <c r="AH34" s="253" t="str">
        <f>IF(AND('Mapa final'!$H$33="Baja",'Mapa final'!$L$33="Catastrófico"),CONCATENATE("R",'Mapa final'!$A$33),"")</f>
        <v/>
      </c>
      <c r="AI34" s="254"/>
      <c r="AJ34" s="254" t="str">
        <f>IF(AND('Mapa final'!$H$39="Baja",'Mapa final'!$L$39="Catastrófico"),CONCATENATE("R",'Mapa final'!$A$39),"")</f>
        <v/>
      </c>
      <c r="AK34" s="254"/>
      <c r="AL34" s="254" t="str">
        <f>IF(AND('Mapa final'!$H$45="Baja",'Mapa final'!$L$45="Catastrófico"),CONCATENATE("R",'Mapa final'!$A$45),"")</f>
        <v/>
      </c>
      <c r="AM34" s="255"/>
      <c r="AN34" s="49"/>
      <c r="AO34" s="314"/>
      <c r="AP34" s="315"/>
      <c r="AQ34" s="315"/>
      <c r="AR34" s="315"/>
      <c r="AS34" s="315"/>
      <c r="AT34" s="316"/>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82"/>
      <c r="C35" s="282"/>
      <c r="D35" s="283"/>
      <c r="E35" s="275"/>
      <c r="F35" s="276"/>
      <c r="G35" s="276"/>
      <c r="H35" s="276"/>
      <c r="I35" s="276"/>
      <c r="J35" s="235"/>
      <c r="K35" s="236"/>
      <c r="L35" s="236"/>
      <c r="M35" s="236"/>
      <c r="N35" s="236"/>
      <c r="O35" s="237"/>
      <c r="P35" s="245"/>
      <c r="Q35" s="245"/>
      <c r="R35" s="245"/>
      <c r="S35" s="245"/>
      <c r="T35" s="245"/>
      <c r="U35" s="246"/>
      <c r="V35" s="244"/>
      <c r="W35" s="245"/>
      <c r="X35" s="245"/>
      <c r="Y35" s="245"/>
      <c r="Z35" s="245"/>
      <c r="AA35" s="246"/>
      <c r="AB35" s="262"/>
      <c r="AC35" s="263"/>
      <c r="AD35" s="263"/>
      <c r="AE35" s="263"/>
      <c r="AF35" s="263"/>
      <c r="AG35" s="264"/>
      <c r="AH35" s="253"/>
      <c r="AI35" s="254"/>
      <c r="AJ35" s="254"/>
      <c r="AK35" s="254"/>
      <c r="AL35" s="254"/>
      <c r="AM35" s="255"/>
      <c r="AN35" s="49"/>
      <c r="AO35" s="314"/>
      <c r="AP35" s="315"/>
      <c r="AQ35" s="315"/>
      <c r="AR35" s="315"/>
      <c r="AS35" s="315"/>
      <c r="AT35" s="316"/>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82"/>
      <c r="C36" s="282"/>
      <c r="D36" s="283"/>
      <c r="E36" s="275"/>
      <c r="F36" s="276"/>
      <c r="G36" s="276"/>
      <c r="H36" s="276"/>
      <c r="I36" s="276"/>
      <c r="J36" s="235" t="str">
        <f>IF(AND('Mapa final'!$H$51="Baja",'Mapa final'!$L$51="Leve"),CONCATENATE("R",'Mapa final'!$A$51),"")</f>
        <v/>
      </c>
      <c r="K36" s="236"/>
      <c r="L36" s="236" t="str">
        <f>IF(AND('Mapa final'!$H$63="Baja",'Mapa final'!$L$63="Leve"),CONCATENATE("R",'Mapa final'!$A$63),"")</f>
        <v/>
      </c>
      <c r="M36" s="236"/>
      <c r="N36" s="236" t="str">
        <f>IF(AND('Mapa final'!$H$69="Baja",'Mapa final'!$L$69="Leve"),CONCATENATE("R",'Mapa final'!$A$69),"")</f>
        <v/>
      </c>
      <c r="O36" s="237"/>
      <c r="P36" s="245" t="str">
        <f>IF(AND('Mapa final'!$H$51="Baja",'Mapa final'!$L$51="Menor"),CONCATENATE("R",'Mapa final'!$A$51),"")</f>
        <v/>
      </c>
      <c r="Q36" s="245"/>
      <c r="R36" s="245" t="str">
        <f>IF(AND('Mapa final'!$H$63="Baja",'Mapa final'!$L$63="Menor"),CONCATENATE("R",'Mapa final'!$A$63),"")</f>
        <v/>
      </c>
      <c r="S36" s="245"/>
      <c r="T36" s="245" t="str">
        <f>IF(AND('Mapa final'!$H$69="Baja",'Mapa final'!$L$69="Menor"),CONCATENATE("R",'Mapa final'!$A$69),"")</f>
        <v/>
      </c>
      <c r="U36" s="246"/>
      <c r="V36" s="244" t="str">
        <f>IF(AND('Mapa final'!$H$51="Baja",'Mapa final'!$L$51="Moderado"),CONCATENATE("R",'Mapa final'!$A$51),"")</f>
        <v/>
      </c>
      <c r="W36" s="245"/>
      <c r="X36" s="245" t="str">
        <f>IF(AND('Mapa final'!$H$63="Baja",'Mapa final'!$L$63="Moderado"),CONCATENATE("R",'Mapa final'!$A$63),"")</f>
        <v/>
      </c>
      <c r="Y36" s="245"/>
      <c r="Z36" s="245" t="str">
        <f>IF(AND('Mapa final'!$H$69="Baja",'Mapa final'!$L$69="Moderado"),CONCATENATE("R",'Mapa final'!$A$69),"")</f>
        <v/>
      </c>
      <c r="AA36" s="246"/>
      <c r="AB36" s="262" t="str">
        <f>IF(AND('Mapa final'!$H$51="Baja",'Mapa final'!$L$51="Mayor"),CONCATENATE("R",'Mapa final'!$A$51),"")</f>
        <v/>
      </c>
      <c r="AC36" s="263"/>
      <c r="AD36" s="263" t="str">
        <f>IF(AND('Mapa final'!$H$63="Baja",'Mapa final'!$L$63="Mayor"),CONCATENATE("R",'Mapa final'!$A$63),"")</f>
        <v/>
      </c>
      <c r="AE36" s="263"/>
      <c r="AF36" s="263" t="str">
        <f>IF(AND('Mapa final'!$H$69="Baja",'Mapa final'!$L$69="Mayor"),CONCATENATE("R",'Mapa final'!$A$69),"")</f>
        <v/>
      </c>
      <c r="AG36" s="264"/>
      <c r="AH36" s="253" t="str">
        <f>IF(AND('Mapa final'!$H$51="Baja",'Mapa final'!$L$51="Catastrófico"),CONCATENATE("R",'Mapa final'!$A$51),"")</f>
        <v/>
      </c>
      <c r="AI36" s="254"/>
      <c r="AJ36" s="254" t="str">
        <f>IF(AND('Mapa final'!$H$63="Baja",'Mapa final'!$L$63="Catastrófico"),CONCATENATE("R",'Mapa final'!$A$63),"")</f>
        <v/>
      </c>
      <c r="AK36" s="254"/>
      <c r="AL36" s="254" t="str">
        <f>IF(AND('Mapa final'!$H$69="Baja",'Mapa final'!$L$69="Catastrófico"),CONCATENATE("R",'Mapa final'!$A$69),"")</f>
        <v/>
      </c>
      <c r="AM36" s="255"/>
      <c r="AN36" s="49"/>
      <c r="AO36" s="314"/>
      <c r="AP36" s="315"/>
      <c r="AQ36" s="315"/>
      <c r="AR36" s="315"/>
      <c r="AS36" s="315"/>
      <c r="AT36" s="316"/>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82"/>
      <c r="C37" s="282"/>
      <c r="D37" s="283"/>
      <c r="E37" s="278"/>
      <c r="F37" s="279"/>
      <c r="G37" s="279"/>
      <c r="H37" s="279"/>
      <c r="I37" s="279"/>
      <c r="J37" s="238"/>
      <c r="K37" s="239"/>
      <c r="L37" s="239"/>
      <c r="M37" s="239"/>
      <c r="N37" s="239"/>
      <c r="O37" s="240"/>
      <c r="P37" s="248"/>
      <c r="Q37" s="248"/>
      <c r="R37" s="248"/>
      <c r="S37" s="248"/>
      <c r="T37" s="248"/>
      <c r="U37" s="249"/>
      <c r="V37" s="247"/>
      <c r="W37" s="248"/>
      <c r="X37" s="248"/>
      <c r="Y37" s="248"/>
      <c r="Z37" s="248"/>
      <c r="AA37" s="249"/>
      <c r="AB37" s="265"/>
      <c r="AC37" s="266"/>
      <c r="AD37" s="266"/>
      <c r="AE37" s="266"/>
      <c r="AF37" s="266"/>
      <c r="AG37" s="267"/>
      <c r="AH37" s="256"/>
      <c r="AI37" s="257"/>
      <c r="AJ37" s="257"/>
      <c r="AK37" s="257"/>
      <c r="AL37" s="257"/>
      <c r="AM37" s="258"/>
      <c r="AN37" s="49"/>
      <c r="AO37" s="317"/>
      <c r="AP37" s="318"/>
      <c r="AQ37" s="318"/>
      <c r="AR37" s="318"/>
      <c r="AS37" s="318"/>
      <c r="AT37" s="31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82"/>
      <c r="C38" s="282"/>
      <c r="D38" s="283"/>
      <c r="E38" s="272" t="s">
        <v>109</v>
      </c>
      <c r="F38" s="273"/>
      <c r="G38" s="273"/>
      <c r="H38" s="273"/>
      <c r="I38" s="274"/>
      <c r="J38" s="241" t="e">
        <f>IF(AND('Mapa final'!#REF!="Muy Baja",'Mapa final'!#REF!="Leve"),CONCATENATE("R",'Mapa final'!#REF!),"")</f>
        <v>#REF!</v>
      </c>
      <c r="K38" s="242"/>
      <c r="L38" s="242" t="e">
        <f>IF(AND('Mapa final'!#REF!="Muy Baja",'Mapa final'!#REF!="Leve"),CONCATENATE("R",'Mapa final'!#REF!),"")</f>
        <v>#REF!</v>
      </c>
      <c r="M38" s="242"/>
      <c r="N38" s="242" t="str">
        <f>IF(AND('Mapa final'!$H$9="Muy Baja",'Mapa final'!$L$9="Leve"),CONCATENATE("R",'Mapa final'!$A$9),"")</f>
        <v/>
      </c>
      <c r="O38" s="243"/>
      <c r="P38" s="241" t="e">
        <f>IF(AND('Mapa final'!#REF!="Muy Baja",'Mapa final'!#REF!="Menor"),CONCATENATE("R",'Mapa final'!#REF!),"")</f>
        <v>#REF!</v>
      </c>
      <c r="Q38" s="242"/>
      <c r="R38" s="242" t="e">
        <f>IF(AND('Mapa final'!#REF!="Muy Baja",'Mapa final'!#REF!="Menor"),CONCATENATE("R",'Mapa final'!#REF!),"")</f>
        <v>#REF!</v>
      </c>
      <c r="S38" s="242"/>
      <c r="T38" s="242" t="str">
        <f>IF(AND('Mapa final'!$H$9="Muy Baja",'Mapa final'!$L$9="Menor"),CONCATENATE("R",'Mapa final'!$A$9),"")</f>
        <v/>
      </c>
      <c r="U38" s="243"/>
      <c r="V38" s="250" t="e">
        <f>IF(AND('Mapa final'!#REF!="Muy Baja",'Mapa final'!#REF!="Moderado"),CONCATENATE("R",'Mapa final'!#REF!),"")</f>
        <v>#REF!</v>
      </c>
      <c r="W38" s="251"/>
      <c r="X38" s="251" t="e">
        <f>IF(AND('Mapa final'!#REF!="Muy Baja",'Mapa final'!#REF!="Moderado"),CONCATENATE("R",'Mapa final'!#REF!),"")</f>
        <v>#REF!</v>
      </c>
      <c r="Y38" s="251"/>
      <c r="Z38" s="251" t="str">
        <f>IF(AND('Mapa final'!$H$9="Muy Baja",'Mapa final'!$L$9="Moderado"),CONCATENATE("R",'Mapa final'!$A$9),"")</f>
        <v/>
      </c>
      <c r="AA38" s="252"/>
      <c r="AB38" s="268" t="e">
        <f>IF(AND('Mapa final'!#REF!="Muy Baja",'Mapa final'!#REF!="Mayor"),CONCATENATE("R",'Mapa final'!#REF!),"")</f>
        <v>#REF!</v>
      </c>
      <c r="AC38" s="269"/>
      <c r="AD38" s="269" t="e">
        <f>IF(AND('Mapa final'!#REF!="Muy Baja",'Mapa final'!#REF!="Mayor"),CONCATENATE("R",'Mapa final'!#REF!),"")</f>
        <v>#REF!</v>
      </c>
      <c r="AE38" s="269"/>
      <c r="AF38" s="269" t="str">
        <f>IF(AND('Mapa final'!$H$9="Muy Baja",'Mapa final'!$L$9="Mayor"),CONCATENATE("R",'Mapa final'!$A$9),"")</f>
        <v/>
      </c>
      <c r="AG38" s="270"/>
      <c r="AH38" s="259" t="e">
        <f>IF(AND('Mapa final'!#REF!="Muy Baja",'Mapa final'!#REF!="Catastrófico"),CONCATENATE("R",'Mapa final'!#REF!),"")</f>
        <v>#REF!</v>
      </c>
      <c r="AI38" s="260"/>
      <c r="AJ38" s="260" t="e">
        <f>IF(AND('Mapa final'!#REF!="Muy Baja",'Mapa final'!#REF!="Catastrófico"),CONCATENATE("R",'Mapa final'!#REF!),"")</f>
        <v>#REF!</v>
      </c>
      <c r="AK38" s="260"/>
      <c r="AL38" s="260" t="str">
        <f>IF(AND('Mapa final'!$H$9="Muy Baja",'Mapa final'!$L$9="Catastrófico"),CONCATENATE("R",'Mapa final'!$A$9),"")</f>
        <v/>
      </c>
      <c r="AM38" s="261"/>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82"/>
      <c r="C39" s="282"/>
      <c r="D39" s="283"/>
      <c r="E39" s="275"/>
      <c r="F39" s="276"/>
      <c r="G39" s="276"/>
      <c r="H39" s="276"/>
      <c r="I39" s="277"/>
      <c r="J39" s="235"/>
      <c r="K39" s="236"/>
      <c r="L39" s="236"/>
      <c r="M39" s="236"/>
      <c r="N39" s="236"/>
      <c r="O39" s="237"/>
      <c r="P39" s="235"/>
      <c r="Q39" s="236"/>
      <c r="R39" s="236"/>
      <c r="S39" s="236"/>
      <c r="T39" s="236"/>
      <c r="U39" s="237"/>
      <c r="V39" s="244"/>
      <c r="W39" s="245"/>
      <c r="X39" s="245"/>
      <c r="Y39" s="245"/>
      <c r="Z39" s="245"/>
      <c r="AA39" s="246"/>
      <c r="AB39" s="262"/>
      <c r="AC39" s="263"/>
      <c r="AD39" s="263"/>
      <c r="AE39" s="263"/>
      <c r="AF39" s="263"/>
      <c r="AG39" s="264"/>
      <c r="AH39" s="253"/>
      <c r="AI39" s="254"/>
      <c r="AJ39" s="254"/>
      <c r="AK39" s="254"/>
      <c r="AL39" s="254"/>
      <c r="AM39" s="255"/>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82"/>
      <c r="C40" s="282"/>
      <c r="D40" s="283"/>
      <c r="E40" s="275"/>
      <c r="F40" s="276"/>
      <c r="G40" s="276"/>
      <c r="H40" s="276"/>
      <c r="I40" s="277"/>
      <c r="J40" s="235" t="str">
        <f>IF(AND('Mapa final'!$H$15="Muy Baja",'Mapa final'!$L$15="Leve"),CONCATENATE("R",'Mapa final'!$A$15),"")</f>
        <v/>
      </c>
      <c r="K40" s="236"/>
      <c r="L40" s="236" t="str">
        <f>IF(AND('Mapa final'!$H$21="Muy Baja",'Mapa final'!$L$21="Leve"),CONCATENATE("R",'Mapa final'!$A$21),"")</f>
        <v/>
      </c>
      <c r="M40" s="236"/>
      <c r="N40" s="236" t="str">
        <f>IF(AND('Mapa final'!$H$27="Muy Baja",'Mapa final'!$L$27="Leve"),CONCATENATE("R",'Mapa final'!$A$27),"")</f>
        <v/>
      </c>
      <c r="O40" s="237"/>
      <c r="P40" s="235" t="str">
        <f>IF(AND('Mapa final'!$H$15="Muy Baja",'Mapa final'!$L$15="Menor"),CONCATENATE("R",'Mapa final'!$A$15),"")</f>
        <v/>
      </c>
      <c r="Q40" s="236"/>
      <c r="R40" s="236" t="str">
        <f>IF(AND('Mapa final'!$H$21="Muy Baja",'Mapa final'!$L$21="Menor"),CONCATENATE("R",'Mapa final'!$A$21),"")</f>
        <v/>
      </c>
      <c r="S40" s="236"/>
      <c r="T40" s="236" t="str">
        <f>IF(AND('Mapa final'!$H$27="Muy Baja",'Mapa final'!$L$27="Menor"),CONCATENATE("R",'Mapa final'!$A$27),"")</f>
        <v/>
      </c>
      <c r="U40" s="237"/>
      <c r="V40" s="244" t="str">
        <f>IF(AND('Mapa final'!$H$15="Muy Baja",'Mapa final'!$L$15="Moderado"),CONCATENATE("R",'Mapa final'!$A$15),"")</f>
        <v/>
      </c>
      <c r="W40" s="245"/>
      <c r="X40" s="245" t="str">
        <f>IF(AND('Mapa final'!$H$21="Muy Baja",'Mapa final'!$L$21="Moderado"),CONCATENATE("R",'Mapa final'!$A$21),"")</f>
        <v/>
      </c>
      <c r="Y40" s="245"/>
      <c r="Z40" s="245" t="str">
        <f>IF(AND('Mapa final'!$H$27="Muy Baja",'Mapa final'!$L$27="Moderado"),CONCATENATE("R",'Mapa final'!$A$27),"")</f>
        <v/>
      </c>
      <c r="AA40" s="246"/>
      <c r="AB40" s="262" t="str">
        <f>IF(AND('Mapa final'!$H$15="Muy Baja",'Mapa final'!$L$15="Mayor"),CONCATENATE("R",'Mapa final'!$A$15),"")</f>
        <v/>
      </c>
      <c r="AC40" s="263"/>
      <c r="AD40" s="263" t="str">
        <f>IF(AND('Mapa final'!$H$21="Muy Baja",'Mapa final'!$L$21="Mayor"),CONCATENATE("R",'Mapa final'!$A$21),"")</f>
        <v/>
      </c>
      <c r="AE40" s="263"/>
      <c r="AF40" s="263" t="str">
        <f>IF(AND('Mapa final'!$H$27="Muy Baja",'Mapa final'!$L$27="Mayor"),CONCATENATE("R",'Mapa final'!$A$27),"")</f>
        <v/>
      </c>
      <c r="AG40" s="264"/>
      <c r="AH40" s="253" t="str">
        <f>IF(AND('Mapa final'!$H$15="Muy Baja",'Mapa final'!$L$15="Catastrófico"),CONCATENATE("R",'Mapa final'!$A$15),"")</f>
        <v/>
      </c>
      <c r="AI40" s="254"/>
      <c r="AJ40" s="254" t="str">
        <f>IF(AND('Mapa final'!$H$21="Muy Baja",'Mapa final'!$L$21="Catastrófico"),CONCATENATE("R",'Mapa final'!$A$21),"")</f>
        <v/>
      </c>
      <c r="AK40" s="254"/>
      <c r="AL40" s="254" t="str">
        <f>IF(AND('Mapa final'!$H$27="Muy Baja",'Mapa final'!$L$27="Catastrófico"),CONCATENATE("R",'Mapa final'!$A$27),"")</f>
        <v/>
      </c>
      <c r="AM40" s="255"/>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82"/>
      <c r="C41" s="282"/>
      <c r="D41" s="283"/>
      <c r="E41" s="275"/>
      <c r="F41" s="276"/>
      <c r="G41" s="276"/>
      <c r="H41" s="276"/>
      <c r="I41" s="277"/>
      <c r="J41" s="235"/>
      <c r="K41" s="236"/>
      <c r="L41" s="236"/>
      <c r="M41" s="236"/>
      <c r="N41" s="236"/>
      <c r="O41" s="237"/>
      <c r="P41" s="235"/>
      <c r="Q41" s="236"/>
      <c r="R41" s="236"/>
      <c r="S41" s="236"/>
      <c r="T41" s="236"/>
      <c r="U41" s="237"/>
      <c r="V41" s="244"/>
      <c r="W41" s="245"/>
      <c r="X41" s="245"/>
      <c r="Y41" s="245"/>
      <c r="Z41" s="245"/>
      <c r="AA41" s="246"/>
      <c r="AB41" s="262"/>
      <c r="AC41" s="263"/>
      <c r="AD41" s="263"/>
      <c r="AE41" s="263"/>
      <c r="AF41" s="263"/>
      <c r="AG41" s="264"/>
      <c r="AH41" s="253"/>
      <c r="AI41" s="254"/>
      <c r="AJ41" s="254"/>
      <c r="AK41" s="254"/>
      <c r="AL41" s="254"/>
      <c r="AM41" s="255"/>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82"/>
      <c r="C42" s="282"/>
      <c r="D42" s="283"/>
      <c r="E42" s="275"/>
      <c r="F42" s="276"/>
      <c r="G42" s="276"/>
      <c r="H42" s="276"/>
      <c r="I42" s="277"/>
      <c r="J42" s="235" t="str">
        <f>IF(AND('Mapa final'!$H$33="Muy Baja",'Mapa final'!$L$33="Leve"),CONCATENATE("R",'Mapa final'!$A$33),"")</f>
        <v>R5</v>
      </c>
      <c r="K42" s="236"/>
      <c r="L42" s="236" t="str">
        <f>IF(AND('Mapa final'!$H$39="Muy Baja",'Mapa final'!$L$39="Leve"),CONCATENATE("R",'Mapa final'!$A$39),"")</f>
        <v/>
      </c>
      <c r="M42" s="236"/>
      <c r="N42" s="236" t="str">
        <f>IF(AND('Mapa final'!$H$45="Muy Baja",'Mapa final'!$L$45="Leve"),CONCATENATE("R",'Mapa final'!$A$45),"")</f>
        <v/>
      </c>
      <c r="O42" s="237"/>
      <c r="P42" s="235" t="str">
        <f>IF(AND('Mapa final'!$H$33="Muy Baja",'Mapa final'!$L$33="Menor"),CONCATENATE("R",'Mapa final'!$A$33),"")</f>
        <v/>
      </c>
      <c r="Q42" s="236"/>
      <c r="R42" s="236" t="str">
        <f>IF(AND('Mapa final'!$H$39="Muy Baja",'Mapa final'!$L$39="Menor"),CONCATENATE("R",'Mapa final'!$A$39),"")</f>
        <v/>
      </c>
      <c r="S42" s="236"/>
      <c r="T42" s="236" t="str">
        <f>IF(AND('Mapa final'!$H$45="Muy Baja",'Mapa final'!$L$45="Menor"),CONCATENATE("R",'Mapa final'!$A$45),"")</f>
        <v/>
      </c>
      <c r="U42" s="237"/>
      <c r="V42" s="244" t="str">
        <f>IF(AND('Mapa final'!$H$33="Muy Baja",'Mapa final'!$L$33="Moderado"),CONCATENATE("R",'Mapa final'!$A$33),"")</f>
        <v/>
      </c>
      <c r="W42" s="245"/>
      <c r="X42" s="245" t="str">
        <f>IF(AND('Mapa final'!$H$39="Muy Baja",'Mapa final'!$L$39="Moderado"),CONCATENATE("R",'Mapa final'!$A$39),"")</f>
        <v/>
      </c>
      <c r="Y42" s="245"/>
      <c r="Z42" s="245" t="str">
        <f>IF(AND('Mapa final'!$H$45="Muy Baja",'Mapa final'!$L$45="Moderado"),CONCATENATE("R",'Mapa final'!$A$45),"")</f>
        <v/>
      </c>
      <c r="AA42" s="246"/>
      <c r="AB42" s="262" t="str">
        <f>IF(AND('Mapa final'!$H$33="Muy Baja",'Mapa final'!$L$33="Mayor"),CONCATENATE("R",'Mapa final'!$A$33),"")</f>
        <v/>
      </c>
      <c r="AC42" s="263"/>
      <c r="AD42" s="263" t="str">
        <f>IF(AND('Mapa final'!$H$39="Muy Baja",'Mapa final'!$L$39="Mayor"),CONCATENATE("R",'Mapa final'!$A$39),"")</f>
        <v/>
      </c>
      <c r="AE42" s="263"/>
      <c r="AF42" s="263" t="str">
        <f>IF(AND('Mapa final'!$H$45="Muy Baja",'Mapa final'!$L$45="Mayor"),CONCATENATE("R",'Mapa final'!$A$45),"")</f>
        <v/>
      </c>
      <c r="AG42" s="264"/>
      <c r="AH42" s="253" t="str">
        <f>IF(AND('Mapa final'!$H$33="Muy Baja",'Mapa final'!$L$33="Catastrófico"),CONCATENATE("R",'Mapa final'!$A$33),"")</f>
        <v/>
      </c>
      <c r="AI42" s="254"/>
      <c r="AJ42" s="254" t="str">
        <f>IF(AND('Mapa final'!$H$39="Muy Baja",'Mapa final'!$L$39="Catastrófico"),CONCATENATE("R",'Mapa final'!$A$39),"")</f>
        <v/>
      </c>
      <c r="AK42" s="254"/>
      <c r="AL42" s="254" t="str">
        <f>IF(AND('Mapa final'!$H$45="Muy Baja",'Mapa final'!$L$45="Catastrófico"),CONCATENATE("R",'Mapa final'!$A$45),"")</f>
        <v/>
      </c>
      <c r="AM42" s="255"/>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82"/>
      <c r="C43" s="282"/>
      <c r="D43" s="283"/>
      <c r="E43" s="275"/>
      <c r="F43" s="276"/>
      <c r="G43" s="276"/>
      <c r="H43" s="276"/>
      <c r="I43" s="277"/>
      <c r="J43" s="235"/>
      <c r="K43" s="236"/>
      <c r="L43" s="236"/>
      <c r="M43" s="236"/>
      <c r="N43" s="236"/>
      <c r="O43" s="237"/>
      <c r="P43" s="235"/>
      <c r="Q43" s="236"/>
      <c r="R43" s="236"/>
      <c r="S43" s="236"/>
      <c r="T43" s="236"/>
      <c r="U43" s="237"/>
      <c r="V43" s="244"/>
      <c r="W43" s="245"/>
      <c r="X43" s="245"/>
      <c r="Y43" s="245"/>
      <c r="Z43" s="245"/>
      <c r="AA43" s="246"/>
      <c r="AB43" s="262"/>
      <c r="AC43" s="263"/>
      <c r="AD43" s="263"/>
      <c r="AE43" s="263"/>
      <c r="AF43" s="263"/>
      <c r="AG43" s="264"/>
      <c r="AH43" s="253"/>
      <c r="AI43" s="254"/>
      <c r="AJ43" s="254"/>
      <c r="AK43" s="254"/>
      <c r="AL43" s="254"/>
      <c r="AM43" s="255"/>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82"/>
      <c r="C44" s="282"/>
      <c r="D44" s="283"/>
      <c r="E44" s="275"/>
      <c r="F44" s="276"/>
      <c r="G44" s="276"/>
      <c r="H44" s="276"/>
      <c r="I44" s="277"/>
      <c r="J44" s="235" t="str">
        <f>IF(AND('Mapa final'!$H$51="Muy Baja",'Mapa final'!$L$51="Leve"),CONCATENATE("R",'Mapa final'!$A$51),"")</f>
        <v/>
      </c>
      <c r="K44" s="236"/>
      <c r="L44" s="236" t="str">
        <f>IF(AND('Mapa final'!$H$63="Muy Baja",'Mapa final'!$L$63="Leve"),CONCATENATE("R",'Mapa final'!$A$63),"")</f>
        <v/>
      </c>
      <c r="M44" s="236"/>
      <c r="N44" s="236" t="str">
        <f>IF(AND('Mapa final'!$H$69="Muy Baja",'Mapa final'!$L$69="Leve"),CONCATENATE("R",'Mapa final'!$A$69),"")</f>
        <v/>
      </c>
      <c r="O44" s="237"/>
      <c r="P44" s="235" t="str">
        <f>IF(AND('Mapa final'!$H$51="Muy Baja",'Mapa final'!$L$51="Menor"),CONCATENATE("R",'Mapa final'!$A$51),"")</f>
        <v/>
      </c>
      <c r="Q44" s="236"/>
      <c r="R44" s="236" t="str">
        <f>IF(AND('Mapa final'!$H$63="Muy Baja",'Mapa final'!$L$63="Menor"),CONCATENATE("R",'Mapa final'!$A$63),"")</f>
        <v/>
      </c>
      <c r="S44" s="236"/>
      <c r="T44" s="236" t="str">
        <f>IF(AND('Mapa final'!$H$69="Muy Baja",'Mapa final'!$L$69="Menor"),CONCATENATE("R",'Mapa final'!$A$69),"")</f>
        <v/>
      </c>
      <c r="U44" s="237"/>
      <c r="V44" s="244" t="str">
        <f>IF(AND('Mapa final'!$H$51="Muy Baja",'Mapa final'!$L$51="Moderado"),CONCATENATE("R",'Mapa final'!$A$51),"")</f>
        <v/>
      </c>
      <c r="W44" s="245"/>
      <c r="X44" s="245" t="str">
        <f>IF(AND('Mapa final'!$H$63="Muy Baja",'Mapa final'!$L$63="Moderado"),CONCATENATE("R",'Mapa final'!$A$63),"")</f>
        <v/>
      </c>
      <c r="Y44" s="245"/>
      <c r="Z44" s="245" t="str">
        <f>IF(AND('Mapa final'!$H$69="Muy Baja",'Mapa final'!$L$69="Moderado"),CONCATENATE("R",'Mapa final'!$A$69),"")</f>
        <v/>
      </c>
      <c r="AA44" s="246"/>
      <c r="AB44" s="262" t="str">
        <f>IF(AND('Mapa final'!$H$51="Muy Baja",'Mapa final'!$L$51="Mayor"),CONCATENATE("R",'Mapa final'!$A$51),"")</f>
        <v/>
      </c>
      <c r="AC44" s="263"/>
      <c r="AD44" s="263" t="str">
        <f>IF(AND('Mapa final'!$H$63="Muy Baja",'Mapa final'!$L$63="Mayor"),CONCATENATE("R",'Mapa final'!$A$63),"")</f>
        <v/>
      </c>
      <c r="AE44" s="263"/>
      <c r="AF44" s="263" t="str">
        <f>IF(AND('Mapa final'!$H$69="Muy Baja",'Mapa final'!$L$69="Mayor"),CONCATENATE("R",'Mapa final'!$A$69),"")</f>
        <v/>
      </c>
      <c r="AG44" s="264"/>
      <c r="AH44" s="253" t="str">
        <f>IF(AND('Mapa final'!$H$51="Muy Baja",'Mapa final'!$L$51="Catastrófico"),CONCATENATE("R",'Mapa final'!$A$51),"")</f>
        <v/>
      </c>
      <c r="AI44" s="254"/>
      <c r="AJ44" s="254" t="str">
        <f>IF(AND('Mapa final'!$H$63="Muy Baja",'Mapa final'!$L$63="Catastrófico"),CONCATENATE("R",'Mapa final'!$A$63),"")</f>
        <v/>
      </c>
      <c r="AK44" s="254"/>
      <c r="AL44" s="254" t="str">
        <f>IF(AND('Mapa final'!$H$69="Muy Baja",'Mapa final'!$L$69="Catastrófico"),CONCATENATE("R",'Mapa final'!$A$69),"")</f>
        <v/>
      </c>
      <c r="AM44" s="255"/>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82"/>
      <c r="C45" s="282"/>
      <c r="D45" s="283"/>
      <c r="E45" s="278"/>
      <c r="F45" s="279"/>
      <c r="G45" s="279"/>
      <c r="H45" s="279"/>
      <c r="I45" s="280"/>
      <c r="J45" s="238"/>
      <c r="K45" s="239"/>
      <c r="L45" s="239"/>
      <c r="M45" s="239"/>
      <c r="N45" s="239"/>
      <c r="O45" s="240"/>
      <c r="P45" s="238"/>
      <c r="Q45" s="239"/>
      <c r="R45" s="239"/>
      <c r="S45" s="239"/>
      <c r="T45" s="239"/>
      <c r="U45" s="240"/>
      <c r="V45" s="247"/>
      <c r="W45" s="248"/>
      <c r="X45" s="248"/>
      <c r="Y45" s="248"/>
      <c r="Z45" s="248"/>
      <c r="AA45" s="249"/>
      <c r="AB45" s="265"/>
      <c r="AC45" s="266"/>
      <c r="AD45" s="266"/>
      <c r="AE45" s="266"/>
      <c r="AF45" s="266"/>
      <c r="AG45" s="267"/>
      <c r="AH45" s="256"/>
      <c r="AI45" s="257"/>
      <c r="AJ45" s="257"/>
      <c r="AK45" s="257"/>
      <c r="AL45" s="257"/>
      <c r="AM45" s="258"/>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72" t="s">
        <v>108</v>
      </c>
      <c r="K46" s="273"/>
      <c r="L46" s="273"/>
      <c r="M46" s="273"/>
      <c r="N46" s="273"/>
      <c r="O46" s="274"/>
      <c r="P46" s="272" t="s">
        <v>107</v>
      </c>
      <c r="Q46" s="273"/>
      <c r="R46" s="273"/>
      <c r="S46" s="273"/>
      <c r="T46" s="273"/>
      <c r="U46" s="274"/>
      <c r="V46" s="272" t="s">
        <v>106</v>
      </c>
      <c r="W46" s="273"/>
      <c r="X46" s="273"/>
      <c r="Y46" s="273"/>
      <c r="Z46" s="273"/>
      <c r="AA46" s="274"/>
      <c r="AB46" s="272" t="s">
        <v>105</v>
      </c>
      <c r="AC46" s="281"/>
      <c r="AD46" s="273"/>
      <c r="AE46" s="273"/>
      <c r="AF46" s="273"/>
      <c r="AG46" s="274"/>
      <c r="AH46" s="272" t="s">
        <v>104</v>
      </c>
      <c r="AI46" s="273"/>
      <c r="AJ46" s="273"/>
      <c r="AK46" s="273"/>
      <c r="AL46" s="273"/>
      <c r="AM46" s="274"/>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75"/>
      <c r="K47" s="276"/>
      <c r="L47" s="276"/>
      <c r="M47" s="276"/>
      <c r="N47" s="276"/>
      <c r="O47" s="277"/>
      <c r="P47" s="275"/>
      <c r="Q47" s="276"/>
      <c r="R47" s="276"/>
      <c r="S47" s="276"/>
      <c r="T47" s="276"/>
      <c r="U47" s="277"/>
      <c r="V47" s="275"/>
      <c r="W47" s="276"/>
      <c r="X47" s="276"/>
      <c r="Y47" s="276"/>
      <c r="Z47" s="276"/>
      <c r="AA47" s="277"/>
      <c r="AB47" s="275"/>
      <c r="AC47" s="276"/>
      <c r="AD47" s="276"/>
      <c r="AE47" s="276"/>
      <c r="AF47" s="276"/>
      <c r="AG47" s="277"/>
      <c r="AH47" s="275"/>
      <c r="AI47" s="276"/>
      <c r="AJ47" s="276"/>
      <c r="AK47" s="276"/>
      <c r="AL47" s="276"/>
      <c r="AM47" s="277"/>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75"/>
      <c r="K48" s="276"/>
      <c r="L48" s="276"/>
      <c r="M48" s="276"/>
      <c r="N48" s="276"/>
      <c r="O48" s="277"/>
      <c r="P48" s="275"/>
      <c r="Q48" s="276"/>
      <c r="R48" s="276"/>
      <c r="S48" s="276"/>
      <c r="T48" s="276"/>
      <c r="U48" s="277"/>
      <c r="V48" s="275"/>
      <c r="W48" s="276"/>
      <c r="X48" s="276"/>
      <c r="Y48" s="276"/>
      <c r="Z48" s="276"/>
      <c r="AA48" s="277"/>
      <c r="AB48" s="275"/>
      <c r="AC48" s="276"/>
      <c r="AD48" s="276"/>
      <c r="AE48" s="276"/>
      <c r="AF48" s="276"/>
      <c r="AG48" s="277"/>
      <c r="AH48" s="275"/>
      <c r="AI48" s="276"/>
      <c r="AJ48" s="276"/>
      <c r="AK48" s="276"/>
      <c r="AL48" s="276"/>
      <c r="AM48" s="277"/>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75"/>
      <c r="K49" s="276"/>
      <c r="L49" s="276"/>
      <c r="M49" s="276"/>
      <c r="N49" s="276"/>
      <c r="O49" s="277"/>
      <c r="P49" s="275"/>
      <c r="Q49" s="276"/>
      <c r="R49" s="276"/>
      <c r="S49" s="276"/>
      <c r="T49" s="276"/>
      <c r="U49" s="277"/>
      <c r="V49" s="275"/>
      <c r="W49" s="276"/>
      <c r="X49" s="276"/>
      <c r="Y49" s="276"/>
      <c r="Z49" s="276"/>
      <c r="AA49" s="277"/>
      <c r="AB49" s="275"/>
      <c r="AC49" s="276"/>
      <c r="AD49" s="276"/>
      <c r="AE49" s="276"/>
      <c r="AF49" s="276"/>
      <c r="AG49" s="277"/>
      <c r="AH49" s="275"/>
      <c r="AI49" s="276"/>
      <c r="AJ49" s="276"/>
      <c r="AK49" s="276"/>
      <c r="AL49" s="276"/>
      <c r="AM49" s="277"/>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75"/>
      <c r="K50" s="276"/>
      <c r="L50" s="276"/>
      <c r="M50" s="276"/>
      <c r="N50" s="276"/>
      <c r="O50" s="277"/>
      <c r="P50" s="275"/>
      <c r="Q50" s="276"/>
      <c r="R50" s="276"/>
      <c r="S50" s="276"/>
      <c r="T50" s="276"/>
      <c r="U50" s="277"/>
      <c r="V50" s="275"/>
      <c r="W50" s="276"/>
      <c r="X50" s="276"/>
      <c r="Y50" s="276"/>
      <c r="Z50" s="276"/>
      <c r="AA50" s="277"/>
      <c r="AB50" s="275"/>
      <c r="AC50" s="276"/>
      <c r="AD50" s="276"/>
      <c r="AE50" s="276"/>
      <c r="AF50" s="276"/>
      <c r="AG50" s="277"/>
      <c r="AH50" s="275"/>
      <c r="AI50" s="276"/>
      <c r="AJ50" s="276"/>
      <c r="AK50" s="276"/>
      <c r="AL50" s="276"/>
      <c r="AM50" s="277"/>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78"/>
      <c r="K51" s="279"/>
      <c r="L51" s="279"/>
      <c r="M51" s="279"/>
      <c r="N51" s="279"/>
      <c r="O51" s="280"/>
      <c r="P51" s="278"/>
      <c r="Q51" s="279"/>
      <c r="R51" s="279"/>
      <c r="S51" s="279"/>
      <c r="T51" s="279"/>
      <c r="U51" s="280"/>
      <c r="V51" s="278"/>
      <c r="W51" s="279"/>
      <c r="X51" s="279"/>
      <c r="Y51" s="279"/>
      <c r="Z51" s="279"/>
      <c r="AA51" s="280"/>
      <c r="AB51" s="278"/>
      <c r="AC51" s="279"/>
      <c r="AD51" s="279"/>
      <c r="AE51" s="279"/>
      <c r="AF51" s="279"/>
      <c r="AG51" s="280"/>
      <c r="AH51" s="278"/>
      <c r="AI51" s="279"/>
      <c r="AJ51" s="279"/>
      <c r="AK51" s="279"/>
      <c r="AL51" s="279"/>
      <c r="AM51" s="280"/>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49" t="s">
        <v>152</v>
      </c>
      <c r="C2" s="350"/>
      <c r="D2" s="350"/>
      <c r="E2" s="350"/>
      <c r="F2" s="350"/>
      <c r="G2" s="350"/>
      <c r="H2" s="350"/>
      <c r="I2" s="350"/>
      <c r="J2" s="271" t="s">
        <v>2</v>
      </c>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50"/>
      <c r="C3" s="350"/>
      <c r="D3" s="350"/>
      <c r="E3" s="350"/>
      <c r="F3" s="350"/>
      <c r="G3" s="350"/>
      <c r="H3" s="350"/>
      <c r="I3" s="350"/>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271"/>
      <c r="AK3" s="271"/>
      <c r="AL3" s="271"/>
      <c r="AM3" s="271"/>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50"/>
      <c r="C4" s="350"/>
      <c r="D4" s="350"/>
      <c r="E4" s="350"/>
      <c r="F4" s="350"/>
      <c r="G4" s="350"/>
      <c r="H4" s="350"/>
      <c r="I4" s="350"/>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82" t="s">
        <v>4</v>
      </c>
      <c r="C6" s="282"/>
      <c r="D6" s="283"/>
      <c r="E6" s="320" t="s">
        <v>112</v>
      </c>
      <c r="F6" s="321"/>
      <c r="G6" s="321"/>
      <c r="H6" s="321"/>
      <c r="I6" s="322"/>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40" t="s">
        <v>77</v>
      </c>
      <c r="AP6" s="341"/>
      <c r="AQ6" s="341"/>
      <c r="AR6" s="341"/>
      <c r="AS6" s="341"/>
      <c r="AT6" s="342"/>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82"/>
      <c r="C7" s="282"/>
      <c r="D7" s="283"/>
      <c r="E7" s="323"/>
      <c r="F7" s="324"/>
      <c r="G7" s="324"/>
      <c r="H7" s="324"/>
      <c r="I7" s="325"/>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43"/>
      <c r="AP7" s="344"/>
      <c r="AQ7" s="344"/>
      <c r="AR7" s="344"/>
      <c r="AS7" s="344"/>
      <c r="AT7" s="345"/>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82"/>
      <c r="C8" s="282"/>
      <c r="D8" s="283"/>
      <c r="E8" s="323"/>
      <c r="F8" s="324"/>
      <c r="G8" s="324"/>
      <c r="H8" s="324"/>
      <c r="I8" s="325"/>
      <c r="J8" s="18" t="str">
        <f>IF(AND('Mapa final'!$Y$9="Muy Alta",'Mapa final'!$AA$9="Leve"),CONCATENATE("R3C",'Mapa final'!$O$9),"")</f>
        <v/>
      </c>
      <c r="K8" s="19" t="str">
        <f>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IF(AND('Mapa final'!$Y$9="Muy Alta",'Mapa final'!$AA$9="Menor"),CONCATENATE("R3C",'Mapa final'!$O$9),"")</f>
        <v/>
      </c>
      <c r="Q8" s="19" t="str">
        <f>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IF(AND('Mapa final'!$Y$9="Muy Alta",'Mapa final'!$AA$9="Moderado"),CONCATENATE("R3C",'Mapa final'!$O$9),"")</f>
        <v/>
      </c>
      <c r="W8" s="19" t="str">
        <f>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IF(AND('Mapa final'!$Y$9="Muy Alta",'Mapa final'!$AA$9="Mayor"),CONCATENATE("R3C",'Mapa final'!$O$9),"")</f>
        <v/>
      </c>
      <c r="AC8" s="19" t="str">
        <f>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IF(AND('Mapa final'!$Y$9="Muy Alta",'Mapa final'!$AA$9="Catastrófico"),CONCATENATE("R3C",'Mapa final'!$O$9),"")</f>
        <v/>
      </c>
      <c r="AI8" s="22" t="str">
        <f>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43"/>
      <c r="AP8" s="344"/>
      <c r="AQ8" s="344"/>
      <c r="AR8" s="344"/>
      <c r="AS8" s="344"/>
      <c r="AT8" s="345"/>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82"/>
      <c r="C9" s="282"/>
      <c r="D9" s="283"/>
      <c r="E9" s="323"/>
      <c r="F9" s="324"/>
      <c r="G9" s="324"/>
      <c r="H9" s="324"/>
      <c r="I9" s="325"/>
      <c r="J9" s="18" t="str">
        <f>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43"/>
      <c r="AP9" s="344"/>
      <c r="AQ9" s="344"/>
      <c r="AR9" s="344"/>
      <c r="AS9" s="344"/>
      <c r="AT9" s="345"/>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82"/>
      <c r="C10" s="282"/>
      <c r="D10" s="283"/>
      <c r="E10" s="323"/>
      <c r="F10" s="324"/>
      <c r="G10" s="324"/>
      <c r="H10" s="324"/>
      <c r="I10" s="325"/>
      <c r="J10" s="18" t="str">
        <f>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43"/>
      <c r="AP10" s="344"/>
      <c r="AQ10" s="344"/>
      <c r="AR10" s="344"/>
      <c r="AS10" s="344"/>
      <c r="AT10" s="345"/>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82"/>
      <c r="C11" s="282"/>
      <c r="D11" s="283"/>
      <c r="E11" s="323"/>
      <c r="F11" s="324"/>
      <c r="G11" s="324"/>
      <c r="H11" s="324"/>
      <c r="I11" s="325"/>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43"/>
      <c r="AP11" s="344"/>
      <c r="AQ11" s="344"/>
      <c r="AR11" s="344"/>
      <c r="AS11" s="344"/>
      <c r="AT11" s="345"/>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82"/>
      <c r="C12" s="282"/>
      <c r="D12" s="283"/>
      <c r="E12" s="323"/>
      <c r="F12" s="324"/>
      <c r="G12" s="324"/>
      <c r="H12" s="324"/>
      <c r="I12" s="325"/>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43"/>
      <c r="AP12" s="344"/>
      <c r="AQ12" s="344"/>
      <c r="AR12" s="344"/>
      <c r="AS12" s="344"/>
      <c r="AT12" s="345"/>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82"/>
      <c r="C13" s="282"/>
      <c r="D13" s="283"/>
      <c r="E13" s="323"/>
      <c r="F13" s="324"/>
      <c r="G13" s="324"/>
      <c r="H13" s="324"/>
      <c r="I13" s="325"/>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43"/>
      <c r="AP13" s="344"/>
      <c r="AQ13" s="344"/>
      <c r="AR13" s="344"/>
      <c r="AS13" s="344"/>
      <c r="AT13" s="345"/>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82"/>
      <c r="C14" s="282"/>
      <c r="D14" s="283"/>
      <c r="E14" s="323"/>
      <c r="F14" s="324"/>
      <c r="G14" s="324"/>
      <c r="H14" s="324"/>
      <c r="I14" s="325"/>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43"/>
      <c r="AP14" s="344"/>
      <c r="AQ14" s="344"/>
      <c r="AR14" s="344"/>
      <c r="AS14" s="344"/>
      <c r="AT14" s="345"/>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82"/>
      <c r="C15" s="282"/>
      <c r="D15" s="283"/>
      <c r="E15" s="326"/>
      <c r="F15" s="327"/>
      <c r="G15" s="327"/>
      <c r="H15" s="327"/>
      <c r="I15" s="328"/>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46"/>
      <c r="AP15" s="347"/>
      <c r="AQ15" s="347"/>
      <c r="AR15" s="347"/>
      <c r="AS15" s="347"/>
      <c r="AT15" s="348"/>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82"/>
      <c r="C16" s="282"/>
      <c r="D16" s="283"/>
      <c r="E16" s="320" t="s">
        <v>111</v>
      </c>
      <c r="F16" s="321"/>
      <c r="G16" s="321"/>
      <c r="H16" s="321"/>
      <c r="I16" s="321"/>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330" t="s">
        <v>78</v>
      </c>
      <c r="AP16" s="331"/>
      <c r="AQ16" s="331"/>
      <c r="AR16" s="331"/>
      <c r="AS16" s="331"/>
      <c r="AT16" s="332"/>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82"/>
      <c r="C17" s="282"/>
      <c r="D17" s="283"/>
      <c r="E17" s="339"/>
      <c r="F17" s="324"/>
      <c r="G17" s="324"/>
      <c r="H17" s="324"/>
      <c r="I17" s="324"/>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333"/>
      <c r="AP17" s="334"/>
      <c r="AQ17" s="334"/>
      <c r="AR17" s="334"/>
      <c r="AS17" s="334"/>
      <c r="AT17" s="335"/>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82"/>
      <c r="C18" s="282"/>
      <c r="D18" s="283"/>
      <c r="E18" s="323"/>
      <c r="F18" s="324"/>
      <c r="G18" s="324"/>
      <c r="H18" s="324"/>
      <c r="I18" s="324"/>
      <c r="J18" s="33" t="str">
        <f>IF(AND('Mapa final'!$Y$9="Alta",'Mapa final'!$AA$9="Leve"),CONCATENATE("R3C",'Mapa final'!$O$9),"")</f>
        <v/>
      </c>
      <c r="K18" s="34" t="str">
        <f>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IF(AND('Mapa final'!$Y$9="Alta",'Mapa final'!$AA$9="Menor"),CONCATENATE("R3C",'Mapa final'!$O$9),"")</f>
        <v/>
      </c>
      <c r="Q18" s="34" t="str">
        <f>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IF(AND('Mapa final'!$Y$9="Alta",'Mapa final'!$AA$9="Moderado"),CONCATENATE("R3C",'Mapa final'!$O$9),"")</f>
        <v/>
      </c>
      <c r="W18" s="19" t="str">
        <f>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IF(AND('Mapa final'!$Y$9="Alta",'Mapa final'!$AA$9="Mayor"),CONCATENATE("R3C",'Mapa final'!$O$9),"")</f>
        <v/>
      </c>
      <c r="AC18" s="19" t="str">
        <f>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IF(AND('Mapa final'!$Y$9="Alta",'Mapa final'!$AA$9="Catastrófico"),CONCATENATE("R3C",'Mapa final'!$O$9),"")</f>
        <v/>
      </c>
      <c r="AI18" s="22" t="str">
        <f>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333"/>
      <c r="AP18" s="334"/>
      <c r="AQ18" s="334"/>
      <c r="AR18" s="334"/>
      <c r="AS18" s="334"/>
      <c r="AT18" s="335"/>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82"/>
      <c r="C19" s="282"/>
      <c r="D19" s="283"/>
      <c r="E19" s="323"/>
      <c r="F19" s="324"/>
      <c r="G19" s="324"/>
      <c r="H19" s="324"/>
      <c r="I19" s="324"/>
      <c r="J19" s="33" t="str">
        <f>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333"/>
      <c r="AP19" s="334"/>
      <c r="AQ19" s="334"/>
      <c r="AR19" s="334"/>
      <c r="AS19" s="334"/>
      <c r="AT19" s="335"/>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82"/>
      <c r="C20" s="282"/>
      <c r="D20" s="283"/>
      <c r="E20" s="323"/>
      <c r="F20" s="324"/>
      <c r="G20" s="324"/>
      <c r="H20" s="324"/>
      <c r="I20" s="324"/>
      <c r="J20" s="33" t="str">
        <f>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333"/>
      <c r="AP20" s="334"/>
      <c r="AQ20" s="334"/>
      <c r="AR20" s="334"/>
      <c r="AS20" s="334"/>
      <c r="AT20" s="335"/>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82"/>
      <c r="C21" s="282"/>
      <c r="D21" s="283"/>
      <c r="E21" s="323"/>
      <c r="F21" s="324"/>
      <c r="G21" s="324"/>
      <c r="H21" s="324"/>
      <c r="I21" s="324"/>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333"/>
      <c r="AP21" s="334"/>
      <c r="AQ21" s="334"/>
      <c r="AR21" s="334"/>
      <c r="AS21" s="334"/>
      <c r="AT21" s="335"/>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82"/>
      <c r="C22" s="282"/>
      <c r="D22" s="283"/>
      <c r="E22" s="323"/>
      <c r="F22" s="324"/>
      <c r="G22" s="324"/>
      <c r="H22" s="324"/>
      <c r="I22" s="324"/>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333"/>
      <c r="AP22" s="334"/>
      <c r="AQ22" s="334"/>
      <c r="AR22" s="334"/>
      <c r="AS22" s="334"/>
      <c r="AT22" s="335"/>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82"/>
      <c r="C23" s="282"/>
      <c r="D23" s="283"/>
      <c r="E23" s="323"/>
      <c r="F23" s="324"/>
      <c r="G23" s="324"/>
      <c r="H23" s="324"/>
      <c r="I23" s="324"/>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333"/>
      <c r="AP23" s="334"/>
      <c r="AQ23" s="334"/>
      <c r="AR23" s="334"/>
      <c r="AS23" s="334"/>
      <c r="AT23" s="335"/>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82"/>
      <c r="C24" s="282"/>
      <c r="D24" s="283"/>
      <c r="E24" s="323"/>
      <c r="F24" s="324"/>
      <c r="G24" s="324"/>
      <c r="H24" s="324"/>
      <c r="I24" s="324"/>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333"/>
      <c r="AP24" s="334"/>
      <c r="AQ24" s="334"/>
      <c r="AR24" s="334"/>
      <c r="AS24" s="334"/>
      <c r="AT24" s="335"/>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82"/>
      <c r="C25" s="282"/>
      <c r="D25" s="283"/>
      <c r="E25" s="326"/>
      <c r="F25" s="327"/>
      <c r="G25" s="327"/>
      <c r="H25" s="327"/>
      <c r="I25" s="327"/>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336"/>
      <c r="AP25" s="337"/>
      <c r="AQ25" s="337"/>
      <c r="AR25" s="337"/>
      <c r="AS25" s="337"/>
      <c r="AT25" s="338"/>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82"/>
      <c r="C26" s="282"/>
      <c r="D26" s="283"/>
      <c r="E26" s="320" t="s">
        <v>113</v>
      </c>
      <c r="F26" s="321"/>
      <c r="G26" s="321"/>
      <c r="H26" s="321"/>
      <c r="I26" s="322"/>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60" t="s">
        <v>79</v>
      </c>
      <c r="AP26" s="361"/>
      <c r="AQ26" s="361"/>
      <c r="AR26" s="361"/>
      <c r="AS26" s="361"/>
      <c r="AT26" s="362"/>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82"/>
      <c r="C27" s="282"/>
      <c r="D27" s="283"/>
      <c r="E27" s="339"/>
      <c r="F27" s="324"/>
      <c r="G27" s="324"/>
      <c r="H27" s="324"/>
      <c r="I27" s="325"/>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63"/>
      <c r="AP27" s="364"/>
      <c r="AQ27" s="364"/>
      <c r="AR27" s="364"/>
      <c r="AS27" s="364"/>
      <c r="AT27" s="365"/>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82"/>
      <c r="C28" s="282"/>
      <c r="D28" s="283"/>
      <c r="E28" s="323"/>
      <c r="F28" s="324"/>
      <c r="G28" s="324"/>
      <c r="H28" s="324"/>
      <c r="I28" s="325"/>
      <c r="J28" s="33" t="str">
        <f>IF(AND('Mapa final'!$Y$9="Media",'Mapa final'!$AA$9="Leve"),CONCATENATE("R3C",'Mapa final'!$O$9),"")</f>
        <v/>
      </c>
      <c r="K28" s="34" t="str">
        <f>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IF(AND('Mapa final'!$Y$9="Media",'Mapa final'!$AA$9="Menor"),CONCATENATE("R3C",'Mapa final'!$O$9),"")</f>
        <v/>
      </c>
      <c r="Q28" s="34" t="str">
        <f>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IF(AND('Mapa final'!$Y$9="Media",'Mapa final'!$AA$9="Moderado"),CONCATENATE("R3C",'Mapa final'!$O$9),"")</f>
        <v/>
      </c>
      <c r="W28" s="34" t="str">
        <f>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IF(AND('Mapa final'!$Y$9="Media",'Mapa final'!$AA$9="Mayor"),CONCATENATE("R3C",'Mapa final'!$O$9),"")</f>
        <v/>
      </c>
      <c r="AC28" s="19" t="str">
        <f>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IF(AND('Mapa final'!$Y$9="Media",'Mapa final'!$AA$9="Catastrófico"),CONCATENATE("R3C",'Mapa final'!$O$9),"")</f>
        <v/>
      </c>
      <c r="AI28" s="22" t="str">
        <f>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63"/>
      <c r="AP28" s="364"/>
      <c r="AQ28" s="364"/>
      <c r="AR28" s="364"/>
      <c r="AS28" s="364"/>
      <c r="AT28" s="365"/>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82"/>
      <c r="C29" s="282"/>
      <c r="D29" s="283"/>
      <c r="E29" s="323"/>
      <c r="F29" s="324"/>
      <c r="G29" s="324"/>
      <c r="H29" s="324"/>
      <c r="I29" s="325"/>
      <c r="J29" s="33" t="str">
        <f>IF(AND('Mapa final'!$Y$15="Media",'Mapa final'!$AA$15="Leve"),CONCATENATE("R4C",'Mapa final'!$O$15),"")</f>
        <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63"/>
      <c r="AP29" s="364"/>
      <c r="AQ29" s="364"/>
      <c r="AR29" s="364"/>
      <c r="AS29" s="364"/>
      <c r="AT29" s="365"/>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82"/>
      <c r="C30" s="282"/>
      <c r="D30" s="283"/>
      <c r="E30" s="323"/>
      <c r="F30" s="324"/>
      <c r="G30" s="324"/>
      <c r="H30" s="324"/>
      <c r="I30" s="325"/>
      <c r="J30" s="33" t="str">
        <f>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63"/>
      <c r="AP30" s="364"/>
      <c r="AQ30" s="364"/>
      <c r="AR30" s="364"/>
      <c r="AS30" s="364"/>
      <c r="AT30" s="365"/>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82"/>
      <c r="C31" s="282"/>
      <c r="D31" s="283"/>
      <c r="E31" s="323"/>
      <c r="F31" s="324"/>
      <c r="G31" s="324"/>
      <c r="H31" s="324"/>
      <c r="I31" s="325"/>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63"/>
      <c r="AP31" s="364"/>
      <c r="AQ31" s="364"/>
      <c r="AR31" s="364"/>
      <c r="AS31" s="364"/>
      <c r="AT31" s="365"/>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82"/>
      <c r="C32" s="282"/>
      <c r="D32" s="283"/>
      <c r="E32" s="323"/>
      <c r="F32" s="324"/>
      <c r="G32" s="324"/>
      <c r="H32" s="324"/>
      <c r="I32" s="325"/>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63"/>
      <c r="AP32" s="364"/>
      <c r="AQ32" s="364"/>
      <c r="AR32" s="364"/>
      <c r="AS32" s="364"/>
      <c r="AT32" s="365"/>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82"/>
      <c r="C33" s="282"/>
      <c r="D33" s="283"/>
      <c r="E33" s="323"/>
      <c r="F33" s="324"/>
      <c r="G33" s="324"/>
      <c r="H33" s="324"/>
      <c r="I33" s="325"/>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R8C1</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63"/>
      <c r="AP33" s="364"/>
      <c r="AQ33" s="364"/>
      <c r="AR33" s="364"/>
      <c r="AS33" s="364"/>
      <c r="AT33" s="365"/>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82"/>
      <c r="C34" s="282"/>
      <c r="D34" s="283"/>
      <c r="E34" s="323"/>
      <c r="F34" s="324"/>
      <c r="G34" s="324"/>
      <c r="H34" s="324"/>
      <c r="I34" s="325"/>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R9C3</v>
      </c>
      <c r="S34" s="34" t="str">
        <f>IF(AND('Mapa final'!$Y$48="Media",'Mapa final'!$AA$48="Menor"),CONCATENATE("R9C",'Mapa final'!$O$48),"")</f>
        <v>R9C4</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63"/>
      <c r="AP34" s="364"/>
      <c r="AQ34" s="364"/>
      <c r="AR34" s="364"/>
      <c r="AS34" s="364"/>
      <c r="AT34" s="365"/>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82"/>
      <c r="C35" s="282"/>
      <c r="D35" s="283"/>
      <c r="E35" s="326"/>
      <c r="F35" s="327"/>
      <c r="G35" s="327"/>
      <c r="H35" s="327"/>
      <c r="I35" s="328"/>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R10C1</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66"/>
      <c r="AP35" s="367"/>
      <c r="AQ35" s="367"/>
      <c r="AR35" s="367"/>
      <c r="AS35" s="367"/>
      <c r="AT35" s="368"/>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82"/>
      <c r="C36" s="282"/>
      <c r="D36" s="283"/>
      <c r="E36" s="320" t="s">
        <v>110</v>
      </c>
      <c r="F36" s="321"/>
      <c r="G36" s="321"/>
      <c r="H36" s="321"/>
      <c r="I36" s="321"/>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51" t="s">
        <v>80</v>
      </c>
      <c r="AP36" s="352"/>
      <c r="AQ36" s="352"/>
      <c r="AR36" s="352"/>
      <c r="AS36" s="352"/>
      <c r="AT36" s="353"/>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82"/>
      <c r="C37" s="282"/>
      <c r="D37" s="283"/>
      <c r="E37" s="339"/>
      <c r="F37" s="324"/>
      <c r="G37" s="324"/>
      <c r="H37" s="324"/>
      <c r="I37" s="324"/>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54"/>
      <c r="AP37" s="355"/>
      <c r="AQ37" s="355"/>
      <c r="AR37" s="355"/>
      <c r="AS37" s="355"/>
      <c r="AT37" s="356"/>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82"/>
      <c r="C38" s="282"/>
      <c r="D38" s="283"/>
      <c r="E38" s="323"/>
      <c r="F38" s="324"/>
      <c r="G38" s="324"/>
      <c r="H38" s="324"/>
      <c r="I38" s="324"/>
      <c r="J38" s="42" t="str">
        <f>IF(AND('Mapa final'!$Y$9="Baja",'Mapa final'!$AA$9="Leve"),CONCATENATE("R3C",'Mapa final'!$O$9),"")</f>
        <v/>
      </c>
      <c r="K38" s="43" t="str">
        <f>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IF(AND('Mapa final'!$Y$9="Baja",'Mapa final'!$AA$9="Menor"),CONCATENATE("R3C",'Mapa final'!$O$9),"")</f>
        <v/>
      </c>
      <c r="Q38" s="34" t="str">
        <f>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IF(AND('Mapa final'!$Y$9="Baja",'Mapa final'!$AA$9="Moderado"),CONCATENATE("R3C",'Mapa final'!$O$9),"")</f>
        <v>R3C1</v>
      </c>
      <c r="W38" s="34" t="str">
        <f>IF(AND('Mapa final'!$Y$10="Baja",'Mapa final'!$AA$10="Moderado"),CONCATENATE("R3C",'Mapa final'!$O$10),"")</f>
        <v>R3C2</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IF(AND('Mapa final'!$Y$9="Baja",'Mapa final'!$AA$9="Mayor"),CONCATENATE("R3C",'Mapa final'!$O$9),"")</f>
        <v/>
      </c>
      <c r="AC38" s="19" t="str">
        <f>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IF(AND('Mapa final'!$Y$9="Baja",'Mapa final'!$AA$9="Catastrófico"),CONCATENATE("R3C",'Mapa final'!$O$9),"")</f>
        <v/>
      </c>
      <c r="AI38" s="22" t="str">
        <f>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54"/>
      <c r="AP38" s="355"/>
      <c r="AQ38" s="355"/>
      <c r="AR38" s="355"/>
      <c r="AS38" s="355"/>
      <c r="AT38" s="356"/>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82"/>
      <c r="C39" s="282"/>
      <c r="D39" s="283"/>
      <c r="E39" s="323"/>
      <c r="F39" s="324"/>
      <c r="G39" s="324"/>
      <c r="H39" s="324"/>
      <c r="I39" s="324"/>
      <c r="J39" s="42" t="str">
        <f>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IF(AND('Mapa final'!$Y$15="Baja",'Mapa final'!$AA$15="Menor"),CONCATENATE("R4C",'Mapa final'!$O$15),"")</f>
        <v>R4C1</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IF(AND('Mapa final'!$Y$15="Baja",'Mapa final'!$AA$15="Moderado"),CONCATENATE("R4C",'Mapa final'!$O$15),"")</f>
        <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54"/>
      <c r="AP39" s="355"/>
      <c r="AQ39" s="355"/>
      <c r="AR39" s="355"/>
      <c r="AS39" s="355"/>
      <c r="AT39" s="356"/>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82"/>
      <c r="C40" s="282"/>
      <c r="D40" s="283"/>
      <c r="E40" s="323"/>
      <c r="F40" s="324"/>
      <c r="G40" s="324"/>
      <c r="H40" s="324"/>
      <c r="I40" s="324"/>
      <c r="J40" s="42" t="str">
        <f>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IF(AND('Mapa final'!$Y$21="Baja",'Mapa final'!$AA$21="Menor"),CONCATENATE("R5C",'Mapa final'!$O$21),"")</f>
        <v>R5C1</v>
      </c>
      <c r="Q40" s="34" t="str">
        <f>IF(AND('Mapa final'!$Y$22="Baja",'Mapa final'!$AA$22="Menor"),CONCATENATE("R5C",'Mapa final'!$O$22),"")</f>
        <v>R5C2</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54"/>
      <c r="AP40" s="355"/>
      <c r="AQ40" s="355"/>
      <c r="AR40" s="355"/>
      <c r="AS40" s="355"/>
      <c r="AT40" s="356"/>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82"/>
      <c r="C41" s="282"/>
      <c r="D41" s="283"/>
      <c r="E41" s="323"/>
      <c r="F41" s="324"/>
      <c r="G41" s="324"/>
      <c r="H41" s="324"/>
      <c r="I41" s="324"/>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R6C1</v>
      </c>
      <c r="Q41" s="34" t="str">
        <f>IF(AND('Mapa final'!$Y$28="Baja",'Mapa final'!$AA$28="Menor"),CONCATENATE("R6C",'Mapa final'!$O$28),"")</f>
        <v>R6C2</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54"/>
      <c r="AP41" s="355"/>
      <c r="AQ41" s="355"/>
      <c r="AR41" s="355"/>
      <c r="AS41" s="355"/>
      <c r="AT41" s="356"/>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82"/>
      <c r="C42" s="282"/>
      <c r="D42" s="283"/>
      <c r="E42" s="323"/>
      <c r="F42" s="324"/>
      <c r="G42" s="324"/>
      <c r="H42" s="324"/>
      <c r="I42" s="324"/>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54"/>
      <c r="AP42" s="355"/>
      <c r="AQ42" s="355"/>
      <c r="AR42" s="355"/>
      <c r="AS42" s="355"/>
      <c r="AT42" s="356"/>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82"/>
      <c r="C43" s="282"/>
      <c r="D43" s="283"/>
      <c r="E43" s="323"/>
      <c r="F43" s="324"/>
      <c r="G43" s="324"/>
      <c r="H43" s="324"/>
      <c r="I43" s="324"/>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54"/>
      <c r="AP43" s="355"/>
      <c r="AQ43" s="355"/>
      <c r="AR43" s="355"/>
      <c r="AS43" s="355"/>
      <c r="AT43" s="356"/>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82"/>
      <c r="C44" s="282"/>
      <c r="D44" s="283"/>
      <c r="E44" s="323"/>
      <c r="F44" s="324"/>
      <c r="G44" s="324"/>
      <c r="H44" s="324"/>
      <c r="I44" s="324"/>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R9C1</v>
      </c>
      <c r="AC44" s="19" t="str">
        <f>IF(AND('Mapa final'!$Y$46="Baja",'Mapa final'!$AA$46="Mayor"),CONCATENATE("R9C",'Mapa final'!$O$46),"")</f>
        <v>R9C2</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54"/>
      <c r="AP44" s="355"/>
      <c r="AQ44" s="355"/>
      <c r="AR44" s="355"/>
      <c r="AS44" s="355"/>
      <c r="AT44" s="356"/>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82"/>
      <c r="C45" s="282"/>
      <c r="D45" s="283"/>
      <c r="E45" s="326"/>
      <c r="F45" s="327"/>
      <c r="G45" s="327"/>
      <c r="H45" s="327"/>
      <c r="I45" s="327"/>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R10C2</v>
      </c>
      <c r="X45" s="37" t="str">
        <f>IF(AND('Mapa final'!$Y$53="Baja",'Mapa final'!$AA$53="Moderado"),CONCATENATE("R10C",'Mapa final'!$O$53),"")</f>
        <v>R10C3</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57"/>
      <c r="AP45" s="358"/>
      <c r="AQ45" s="358"/>
      <c r="AR45" s="358"/>
      <c r="AS45" s="358"/>
      <c r="AT45" s="359"/>
    </row>
    <row r="46" spans="1:80" ht="46.5" customHeight="1" x14ac:dyDescent="0.35">
      <c r="A46" s="49"/>
      <c r="B46" s="282"/>
      <c r="C46" s="282"/>
      <c r="D46" s="283"/>
      <c r="E46" s="320" t="s">
        <v>109</v>
      </c>
      <c r="F46" s="321"/>
      <c r="G46" s="321"/>
      <c r="H46" s="321"/>
      <c r="I46" s="322"/>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82"/>
      <c r="C47" s="282"/>
      <c r="D47" s="283"/>
      <c r="E47" s="339"/>
      <c r="F47" s="324"/>
      <c r="G47" s="324"/>
      <c r="H47" s="324"/>
      <c r="I47" s="325"/>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82"/>
      <c r="C48" s="282"/>
      <c r="D48" s="283"/>
      <c r="E48" s="339"/>
      <c r="F48" s="324"/>
      <c r="G48" s="324"/>
      <c r="H48" s="324"/>
      <c r="I48" s="325"/>
      <c r="J48" s="42" t="str">
        <f>IF(AND('Mapa final'!$Y$9="Muy Baja",'Mapa final'!$AA$9="Leve"),CONCATENATE("R3C",'Mapa final'!$O$9),"")</f>
        <v/>
      </c>
      <c r="K48" s="43" t="str">
        <f>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IF(AND('Mapa final'!$Y$9="Muy Baja",'Mapa final'!$AA$9="Menor"),CONCATENATE("R3C",'Mapa final'!$O$9),"")</f>
        <v/>
      </c>
      <c r="Q48" s="43" t="str">
        <f>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IF(AND('Mapa final'!$Y$9="Muy Baja",'Mapa final'!$AA$9="Moderado"),CONCATENATE("R3C",'Mapa final'!$O$9),"")</f>
        <v/>
      </c>
      <c r="W48" s="34" t="str">
        <f>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IF(AND('Mapa final'!$Y$9="Muy Baja",'Mapa final'!$AA$9="Mayor"),CONCATENATE("R3C",'Mapa final'!$O$9),"")</f>
        <v/>
      </c>
      <c r="AC48" s="19" t="str">
        <f>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IF(AND('Mapa final'!$Y$9="Muy Baja",'Mapa final'!$AA$9="Catastrófico"),CONCATENATE("R3C",'Mapa final'!$O$9),"")</f>
        <v/>
      </c>
      <c r="AI48" s="22" t="str">
        <f>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82"/>
      <c r="C49" s="282"/>
      <c r="D49" s="283"/>
      <c r="E49" s="323"/>
      <c r="F49" s="324"/>
      <c r="G49" s="324"/>
      <c r="H49" s="324"/>
      <c r="I49" s="325"/>
      <c r="J49" s="42" t="str">
        <f>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IF(AND('Mapa final'!$Y$15="Muy Baja",'Mapa final'!$AA$15="Menor"),CONCATENATE("R4C",'Mapa final'!$O$15),"")</f>
        <v/>
      </c>
      <c r="Q49" s="43" t="str">
        <f>IF(AND('Mapa final'!$Y$16="Muy Baja",'Mapa final'!$AA$16="Menor"),CONCATENATE("R4C",'Mapa final'!$O$16),"")</f>
        <v>R4C2</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82"/>
      <c r="C50" s="282"/>
      <c r="D50" s="283"/>
      <c r="E50" s="323"/>
      <c r="F50" s="324"/>
      <c r="G50" s="324"/>
      <c r="H50" s="324"/>
      <c r="I50" s="325"/>
      <c r="J50" s="42" t="str">
        <f>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IF(AND('Mapa final'!$Y$21="Muy Baja",'Mapa final'!$AA$21="Menor"),CONCATENATE("R5C",'Mapa final'!$O$21),"")</f>
        <v/>
      </c>
      <c r="Q50" s="43" t="str">
        <f>IF(AND('Mapa final'!$Y$22="Muy Baja",'Mapa final'!$AA$22="Menor"),CONCATENATE("R5C",'Mapa final'!$O$22),"")</f>
        <v/>
      </c>
      <c r="R50" s="43" t="str">
        <f>IF(AND('Mapa final'!$Y$23="Muy Baja",'Mapa final'!$AA$23="Menor"),CONCATENATE("R5C",'Mapa final'!$O$23),"")</f>
        <v>R5C3</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82"/>
      <c r="C51" s="282"/>
      <c r="D51" s="283"/>
      <c r="E51" s="323"/>
      <c r="F51" s="324"/>
      <c r="G51" s="324"/>
      <c r="H51" s="324"/>
      <c r="I51" s="325"/>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R6C3</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82"/>
      <c r="C52" s="282"/>
      <c r="D52" s="283"/>
      <c r="E52" s="323"/>
      <c r="F52" s="324"/>
      <c r="G52" s="324"/>
      <c r="H52" s="324"/>
      <c r="I52" s="325"/>
      <c r="J52" s="42" t="str">
        <f>IF(AND('Mapa final'!$Y$33="Muy Baja",'Mapa final'!$AA$33="Leve"),CONCATENATE("R7C",'Mapa final'!$O$33),"")</f>
        <v>R7C1</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82"/>
      <c r="C53" s="282"/>
      <c r="D53" s="283"/>
      <c r="E53" s="323"/>
      <c r="F53" s="324"/>
      <c r="G53" s="324"/>
      <c r="H53" s="324"/>
      <c r="I53" s="325"/>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82"/>
      <c r="C54" s="282"/>
      <c r="D54" s="283"/>
      <c r="E54" s="323"/>
      <c r="F54" s="324"/>
      <c r="G54" s="324"/>
      <c r="H54" s="324"/>
      <c r="I54" s="325"/>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82"/>
      <c r="C55" s="282"/>
      <c r="D55" s="283"/>
      <c r="E55" s="326"/>
      <c r="F55" s="327"/>
      <c r="G55" s="327"/>
      <c r="H55" s="327"/>
      <c r="I55" s="328"/>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320" t="s">
        <v>108</v>
      </c>
      <c r="K56" s="321"/>
      <c r="L56" s="321"/>
      <c r="M56" s="321"/>
      <c r="N56" s="321"/>
      <c r="O56" s="322"/>
      <c r="P56" s="320" t="s">
        <v>107</v>
      </c>
      <c r="Q56" s="321"/>
      <c r="R56" s="321"/>
      <c r="S56" s="321"/>
      <c r="T56" s="321"/>
      <c r="U56" s="322"/>
      <c r="V56" s="320" t="s">
        <v>106</v>
      </c>
      <c r="W56" s="321"/>
      <c r="X56" s="321"/>
      <c r="Y56" s="321"/>
      <c r="Z56" s="321"/>
      <c r="AA56" s="322"/>
      <c r="AB56" s="320" t="s">
        <v>105</v>
      </c>
      <c r="AC56" s="329"/>
      <c r="AD56" s="321"/>
      <c r="AE56" s="321"/>
      <c r="AF56" s="321"/>
      <c r="AG56" s="322"/>
      <c r="AH56" s="320" t="s">
        <v>104</v>
      </c>
      <c r="AI56" s="321"/>
      <c r="AJ56" s="321"/>
      <c r="AK56" s="321"/>
      <c r="AL56" s="321"/>
      <c r="AM56" s="322"/>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323"/>
      <c r="K57" s="324"/>
      <c r="L57" s="324"/>
      <c r="M57" s="324"/>
      <c r="N57" s="324"/>
      <c r="O57" s="325"/>
      <c r="P57" s="323"/>
      <c r="Q57" s="324"/>
      <c r="R57" s="324"/>
      <c r="S57" s="324"/>
      <c r="T57" s="324"/>
      <c r="U57" s="325"/>
      <c r="V57" s="323"/>
      <c r="W57" s="324"/>
      <c r="X57" s="324"/>
      <c r="Y57" s="324"/>
      <c r="Z57" s="324"/>
      <c r="AA57" s="325"/>
      <c r="AB57" s="323"/>
      <c r="AC57" s="324"/>
      <c r="AD57" s="324"/>
      <c r="AE57" s="324"/>
      <c r="AF57" s="324"/>
      <c r="AG57" s="325"/>
      <c r="AH57" s="323"/>
      <c r="AI57" s="324"/>
      <c r="AJ57" s="324"/>
      <c r="AK57" s="324"/>
      <c r="AL57" s="324"/>
      <c r="AM57" s="325"/>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323"/>
      <c r="K58" s="324"/>
      <c r="L58" s="324"/>
      <c r="M58" s="324"/>
      <c r="N58" s="324"/>
      <c r="O58" s="325"/>
      <c r="P58" s="323"/>
      <c r="Q58" s="324"/>
      <c r="R58" s="324"/>
      <c r="S58" s="324"/>
      <c r="T58" s="324"/>
      <c r="U58" s="325"/>
      <c r="V58" s="323"/>
      <c r="W58" s="324"/>
      <c r="X58" s="324"/>
      <c r="Y58" s="324"/>
      <c r="Z58" s="324"/>
      <c r="AA58" s="325"/>
      <c r="AB58" s="323"/>
      <c r="AC58" s="324"/>
      <c r="AD58" s="324"/>
      <c r="AE58" s="324"/>
      <c r="AF58" s="324"/>
      <c r="AG58" s="325"/>
      <c r="AH58" s="323"/>
      <c r="AI58" s="324"/>
      <c r="AJ58" s="324"/>
      <c r="AK58" s="324"/>
      <c r="AL58" s="324"/>
      <c r="AM58" s="325"/>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323"/>
      <c r="K59" s="324"/>
      <c r="L59" s="324"/>
      <c r="M59" s="324"/>
      <c r="N59" s="324"/>
      <c r="O59" s="325"/>
      <c r="P59" s="323"/>
      <c r="Q59" s="324"/>
      <c r="R59" s="324"/>
      <c r="S59" s="324"/>
      <c r="T59" s="324"/>
      <c r="U59" s="325"/>
      <c r="V59" s="323"/>
      <c r="W59" s="324"/>
      <c r="X59" s="324"/>
      <c r="Y59" s="324"/>
      <c r="Z59" s="324"/>
      <c r="AA59" s="325"/>
      <c r="AB59" s="323"/>
      <c r="AC59" s="324"/>
      <c r="AD59" s="324"/>
      <c r="AE59" s="324"/>
      <c r="AF59" s="324"/>
      <c r="AG59" s="325"/>
      <c r="AH59" s="323"/>
      <c r="AI59" s="324"/>
      <c r="AJ59" s="324"/>
      <c r="AK59" s="324"/>
      <c r="AL59" s="324"/>
      <c r="AM59" s="325"/>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323"/>
      <c r="K60" s="324"/>
      <c r="L60" s="324"/>
      <c r="M60" s="324"/>
      <c r="N60" s="324"/>
      <c r="O60" s="325"/>
      <c r="P60" s="323"/>
      <c r="Q60" s="324"/>
      <c r="R60" s="324"/>
      <c r="S60" s="324"/>
      <c r="T60" s="324"/>
      <c r="U60" s="325"/>
      <c r="V60" s="323"/>
      <c r="W60" s="324"/>
      <c r="X60" s="324"/>
      <c r="Y60" s="324"/>
      <c r="Z60" s="324"/>
      <c r="AA60" s="325"/>
      <c r="AB60" s="323"/>
      <c r="AC60" s="324"/>
      <c r="AD60" s="324"/>
      <c r="AE60" s="324"/>
      <c r="AF60" s="324"/>
      <c r="AG60" s="325"/>
      <c r="AH60" s="323"/>
      <c r="AI60" s="324"/>
      <c r="AJ60" s="324"/>
      <c r="AK60" s="324"/>
      <c r="AL60" s="324"/>
      <c r="AM60" s="325"/>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326"/>
      <c r="K61" s="327"/>
      <c r="L61" s="327"/>
      <c r="M61" s="327"/>
      <c r="N61" s="327"/>
      <c r="O61" s="328"/>
      <c r="P61" s="326"/>
      <c r="Q61" s="327"/>
      <c r="R61" s="327"/>
      <c r="S61" s="327"/>
      <c r="T61" s="327"/>
      <c r="U61" s="328"/>
      <c r="V61" s="326"/>
      <c r="W61" s="327"/>
      <c r="X61" s="327"/>
      <c r="Y61" s="327"/>
      <c r="Z61" s="327"/>
      <c r="AA61" s="328"/>
      <c r="AB61" s="326"/>
      <c r="AC61" s="327"/>
      <c r="AD61" s="327"/>
      <c r="AE61" s="327"/>
      <c r="AF61" s="327"/>
      <c r="AG61" s="328"/>
      <c r="AH61" s="326"/>
      <c r="AI61" s="327"/>
      <c r="AJ61" s="327"/>
      <c r="AK61" s="327"/>
      <c r="AL61" s="327"/>
      <c r="AM61" s="328"/>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69" t="s">
        <v>53</v>
      </c>
      <c r="C1" s="369"/>
      <c r="D1" s="369"/>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70" t="s">
        <v>61</v>
      </c>
      <c r="C1" s="370"/>
      <c r="D1" s="370"/>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IF(NOT(ISERROR(MATCH(G210,_xlfn.ANCHORARRAY(B221),0))),F223&amp;"Por favor no seleccionar los criterios de impacto",G210)</f>
        <v>❌Por favor no seleccionar los criterios de impacto</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str" cm="1">
        <f t="array" ref="B221:B223">_xlfn.UNIQUE(Tabla1[[#All],[Criterios]])</f>
        <v>Criterios</v>
      </c>
      <c r="C221" s="8"/>
      <c r="E221" t="s">
        <v>114</v>
      </c>
      <c r="F221" t="str">
        <f t="shared" si="0"/>
        <v xml:space="preserve">     El riesgo afecta la imagen de la entidad a nivel nacional, con efecto publicitarios sostenible a nivel país</v>
      </c>
    </row>
    <row r="222" spans="1:8" x14ac:dyDescent="0.25">
      <c r="A222" s="49"/>
      <c r="B222" s="8" t="str">
        <v>Afectación Económica o presupuestal</v>
      </c>
      <c r="C222" s="8"/>
    </row>
    <row r="223" spans="1:8" x14ac:dyDescent="0.25">
      <c r="B223" s="8" t="str">
        <v>Pérdida Reputacional</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71" t="s">
        <v>76</v>
      </c>
      <c r="C1" s="372"/>
      <c r="D1" s="372"/>
      <c r="E1" s="372"/>
      <c r="F1" s="373"/>
    </row>
    <row r="2" spans="2:6" ht="16.5" thickBot="1" x14ac:dyDescent="0.3">
      <c r="B2" s="55"/>
      <c r="C2" s="55"/>
      <c r="D2" s="55"/>
      <c r="E2" s="55"/>
      <c r="F2" s="55"/>
    </row>
    <row r="3" spans="2:6" ht="16.5" thickBot="1" x14ac:dyDescent="0.25">
      <c r="B3" s="375" t="s">
        <v>62</v>
      </c>
      <c r="C3" s="376"/>
      <c r="D3" s="376"/>
      <c r="E3" s="67" t="s">
        <v>63</v>
      </c>
      <c r="F3" s="68" t="s">
        <v>64</v>
      </c>
    </row>
    <row r="4" spans="2:6" ht="31.5" x14ac:dyDescent="0.2">
      <c r="B4" s="377" t="s">
        <v>65</v>
      </c>
      <c r="C4" s="379" t="s">
        <v>13</v>
      </c>
      <c r="D4" s="56" t="s">
        <v>14</v>
      </c>
      <c r="E4" s="57" t="s">
        <v>66</v>
      </c>
      <c r="F4" s="58">
        <v>0.25</v>
      </c>
    </row>
    <row r="5" spans="2:6" ht="47.25" x14ac:dyDescent="0.2">
      <c r="B5" s="378"/>
      <c r="C5" s="380"/>
      <c r="D5" s="59" t="s">
        <v>15</v>
      </c>
      <c r="E5" s="60" t="s">
        <v>67</v>
      </c>
      <c r="F5" s="61">
        <v>0.15</v>
      </c>
    </row>
    <row r="6" spans="2:6" ht="47.25" x14ac:dyDescent="0.2">
      <c r="B6" s="378"/>
      <c r="C6" s="380"/>
      <c r="D6" s="59" t="s">
        <v>16</v>
      </c>
      <c r="E6" s="60" t="s">
        <v>68</v>
      </c>
      <c r="F6" s="61">
        <v>0.1</v>
      </c>
    </row>
    <row r="7" spans="2:6" ht="63" x14ac:dyDescent="0.2">
      <c r="B7" s="378"/>
      <c r="C7" s="380" t="s">
        <v>17</v>
      </c>
      <c r="D7" s="59" t="s">
        <v>10</v>
      </c>
      <c r="E7" s="60" t="s">
        <v>69</v>
      </c>
      <c r="F7" s="61">
        <v>0.25</v>
      </c>
    </row>
    <row r="8" spans="2:6" ht="31.5" x14ac:dyDescent="0.2">
      <c r="B8" s="378"/>
      <c r="C8" s="380"/>
      <c r="D8" s="59" t="s">
        <v>9</v>
      </c>
      <c r="E8" s="60" t="s">
        <v>70</v>
      </c>
      <c r="F8" s="61">
        <v>0.15</v>
      </c>
    </row>
    <row r="9" spans="2:6" ht="47.25" x14ac:dyDescent="0.2">
      <c r="B9" s="378" t="s">
        <v>154</v>
      </c>
      <c r="C9" s="380" t="s">
        <v>18</v>
      </c>
      <c r="D9" s="59" t="s">
        <v>19</v>
      </c>
      <c r="E9" s="60" t="s">
        <v>71</v>
      </c>
      <c r="F9" s="62" t="s">
        <v>72</v>
      </c>
    </row>
    <row r="10" spans="2:6" ht="63" x14ac:dyDescent="0.2">
      <c r="B10" s="378"/>
      <c r="C10" s="380"/>
      <c r="D10" s="59" t="s">
        <v>20</v>
      </c>
      <c r="E10" s="60" t="s">
        <v>73</v>
      </c>
      <c r="F10" s="62" t="s">
        <v>72</v>
      </c>
    </row>
    <row r="11" spans="2:6" ht="47.25" x14ac:dyDescent="0.2">
      <c r="B11" s="378"/>
      <c r="C11" s="380" t="s">
        <v>21</v>
      </c>
      <c r="D11" s="59" t="s">
        <v>22</v>
      </c>
      <c r="E11" s="60" t="s">
        <v>74</v>
      </c>
      <c r="F11" s="62" t="s">
        <v>72</v>
      </c>
    </row>
    <row r="12" spans="2:6" ht="47.25" x14ac:dyDescent="0.2">
      <c r="B12" s="378"/>
      <c r="C12" s="380"/>
      <c r="D12" s="59" t="s">
        <v>23</v>
      </c>
      <c r="E12" s="60" t="s">
        <v>75</v>
      </c>
      <c r="F12" s="62" t="s">
        <v>72</v>
      </c>
    </row>
    <row r="13" spans="2:6" ht="31.5" x14ac:dyDescent="0.2">
      <c r="B13" s="378"/>
      <c r="C13" s="380" t="s">
        <v>24</v>
      </c>
      <c r="D13" s="59" t="s">
        <v>115</v>
      </c>
      <c r="E13" s="60" t="s">
        <v>118</v>
      </c>
      <c r="F13" s="62" t="s">
        <v>72</v>
      </c>
    </row>
    <row r="14" spans="2:6" ht="32.25" thickBot="1" x14ac:dyDescent="0.25">
      <c r="B14" s="381"/>
      <c r="C14" s="382"/>
      <c r="D14" s="63" t="s">
        <v>116</v>
      </c>
      <c r="E14" s="64" t="s">
        <v>117</v>
      </c>
      <c r="F14" s="65" t="s">
        <v>72</v>
      </c>
    </row>
    <row r="15" spans="2:6" ht="49.5" customHeight="1" x14ac:dyDescent="0.2">
      <c r="B15" s="374" t="s">
        <v>151</v>
      </c>
      <c r="C15" s="374"/>
      <c r="D15" s="374"/>
      <c r="E15" s="374"/>
      <c r="F15" s="374"/>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2026-01-15T20:11:29Z</dcterms:modified>
</cp:coreProperties>
</file>