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2026\Mapa Riesgos Actualizados\"/>
    </mc:Choice>
  </mc:AlternateContent>
  <xr:revisionPtr revIDLastSave="12" documentId="8_{8B95C8C6-DA7B-4FD1-8404-DAE86222614B}" xr6:coauthVersionLast="41" xr6:coauthVersionMax="41" xr10:uidLastSave="{8782FA69-059A-4C08-A87F-4075F477F8FE}"/>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AB28" i="1" l="1"/>
  <c r="AA28" i="1" s="1"/>
  <c r="X28" i="1"/>
  <c r="Y28" i="1" s="1"/>
  <c r="AC28" i="1" s="1"/>
  <c r="X27" i="1"/>
  <c r="Y27" i="1" s="1"/>
  <c r="X21" i="1"/>
  <c r="Y21" i="1" s="1"/>
  <c r="X15" i="1"/>
  <c r="Y15" i="1" s="1"/>
  <c r="X9" i="1"/>
  <c r="Y9" i="1" s="1"/>
  <c r="Z28" i="1" l="1"/>
  <c r="Z27" i="1"/>
  <c r="Z21" i="1"/>
  <c r="Z15" i="1"/>
  <c r="Z9" i="1"/>
  <c r="K22" i="1"/>
  <c r="K23" i="1"/>
  <c r="K24" i="1"/>
  <c r="K25" i="1"/>
  <c r="K26" i="1"/>
  <c r="K16" i="1"/>
  <c r="K17" i="1"/>
  <c r="K18" i="1"/>
  <c r="K19" i="1"/>
  <c r="K20" i="1"/>
  <c r="K14" i="1"/>
  <c r="K12" i="1"/>
  <c r="K10" i="1"/>
  <c r="K13" i="1"/>
  <c r="K11"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46" i="1" l="1"/>
  <c r="Y40"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A29" i="1" l="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21" i="1" l="1"/>
  <c r="L21" i="1" s="1"/>
  <c r="K9" i="1"/>
  <c r="L9" i="1" s="1"/>
  <c r="K15" i="1"/>
  <c r="L15" i="1" s="1"/>
  <c r="K33" i="1"/>
  <c r="L33" i="1" s="1"/>
  <c r="K51" i="1"/>
  <c r="L51" i="1" s="1"/>
  <c r="K45" i="1"/>
  <c r="L45" i="1" s="1"/>
  <c r="K27" i="1"/>
  <c r="L27" i="1" s="1"/>
  <c r="K39" i="1"/>
  <c r="L39" i="1" s="1"/>
  <c r="X42" i="18" l="1"/>
  <c r="AJ26" i="18"/>
  <c r="X18" i="18"/>
  <c r="AD42" i="18"/>
  <c r="L18" i="18"/>
  <c r="L34" i="18"/>
  <c r="L10" i="18"/>
  <c r="N39" i="1"/>
  <c r="X10" i="18"/>
  <c r="AD18" i="18"/>
  <c r="AD26" i="18"/>
  <c r="AJ10" i="18"/>
  <c r="M39" i="1"/>
  <c r="AJ42" i="18"/>
  <c r="AD10" i="18"/>
  <c r="L42" i="18"/>
  <c r="R18" i="18"/>
  <c r="AJ18" i="18"/>
  <c r="X26" i="18"/>
  <c r="X34" i="18"/>
  <c r="L26" i="18"/>
  <c r="R34" i="18"/>
  <c r="R26" i="18"/>
  <c r="R10" i="18"/>
  <c r="R42" i="18"/>
  <c r="AD34" i="18"/>
  <c r="AJ34"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N9" i="1"/>
  <c r="T38" i="18"/>
  <c r="Z14" i="18"/>
  <c r="AF6" i="18"/>
  <c r="AL22" i="18"/>
  <c r="AF30" i="18"/>
  <c r="AL6" i="18"/>
  <c r="Z6" i="18"/>
  <c r="N30" i="18"/>
  <c r="N14" i="18"/>
  <c r="N22" i="18"/>
  <c r="AF38" i="18"/>
  <c r="T6" i="18"/>
  <c r="M9" i="1"/>
  <c r="AB9" i="1" s="1"/>
  <c r="AA9" i="1" s="1"/>
  <c r="AL14" i="18"/>
  <c r="N38" i="18"/>
  <c r="T30" i="18"/>
  <c r="AF14" i="18"/>
  <c r="T22" i="18"/>
  <c r="AL30" i="18"/>
  <c r="AL38" i="18"/>
  <c r="AF22" i="18"/>
  <c r="Z30" i="18"/>
  <c r="Z38" i="18"/>
  <c r="T14" i="18"/>
  <c r="N6" i="18"/>
  <c r="Z22" i="18"/>
  <c r="T16" i="18"/>
  <c r="T24" i="18"/>
  <c r="Z24" i="18"/>
  <c r="AF16" i="18"/>
  <c r="AF40" i="18"/>
  <c r="N27" i="1"/>
  <c r="N32" i="18"/>
  <c r="T8" i="18"/>
  <c r="AF24" i="18"/>
  <c r="M27" i="1"/>
  <c r="AB27" i="1" s="1"/>
  <c r="N16" i="18"/>
  <c r="Z40" i="18"/>
  <c r="T32" i="18"/>
  <c r="AF8" i="18"/>
  <c r="Z16" i="18"/>
  <c r="N8" i="18"/>
  <c r="AF32" i="18"/>
  <c r="AL24" i="18"/>
  <c r="N24" i="18"/>
  <c r="AL16" i="18"/>
  <c r="AL32" i="18"/>
  <c r="AL40" i="18"/>
  <c r="AL8" i="18"/>
  <c r="N40" i="18"/>
  <c r="Z8" i="18"/>
  <c r="T40" i="18"/>
  <c r="Z32" i="18"/>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AB40" i="18"/>
  <c r="J24" i="18"/>
  <c r="P24" i="18"/>
  <c r="AB16" i="18"/>
  <c r="AB24" i="18"/>
  <c r="AB8" i="18"/>
  <c r="AH24" i="18"/>
  <c r="AB32" i="18"/>
  <c r="J32" i="18"/>
  <c r="V16" i="18"/>
  <c r="V40" i="18"/>
  <c r="J40" i="18"/>
  <c r="J16" i="18"/>
  <c r="N15" i="1"/>
  <c r="AH8" i="18"/>
  <c r="P8" i="18"/>
  <c r="P32" i="18"/>
  <c r="P40" i="18"/>
  <c r="V32" i="18"/>
  <c r="V8" i="18"/>
  <c r="AH16" i="18"/>
  <c r="M15" i="1"/>
  <c r="AB15" i="1" s="1"/>
  <c r="AA15" i="1" s="1"/>
  <c r="AH40" i="18"/>
  <c r="AH32" i="18"/>
  <c r="V24" i="18"/>
  <c r="P16" i="18"/>
  <c r="J8"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21" i="1" s="1"/>
  <c r="AA21" i="1" s="1"/>
  <c r="AA27" i="1" l="1"/>
  <c r="AC27" i="1" s="1"/>
  <c r="AC21" i="1"/>
  <c r="J10" i="19"/>
  <c r="AB20" i="19"/>
  <c r="AH50" i="19"/>
  <c r="V20" i="19"/>
  <c r="AH10" i="19"/>
  <c r="P10" i="19"/>
  <c r="AB50" i="19"/>
  <c r="J50" i="19"/>
  <c r="AB40" i="19"/>
  <c r="AB10" i="19"/>
  <c r="V50" i="19"/>
  <c r="AH40" i="19"/>
  <c r="J40" i="19"/>
  <c r="V30" i="19"/>
  <c r="AH20" i="19"/>
  <c r="J30" i="19"/>
  <c r="V10" i="19"/>
  <c r="P20" i="19"/>
  <c r="J20" i="19"/>
  <c r="P40" i="19"/>
  <c r="V40" i="19"/>
  <c r="AB30" i="19"/>
  <c r="P30" i="19"/>
  <c r="P50" i="19"/>
  <c r="AH30" i="19"/>
  <c r="AC15" i="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C9" i="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AB25" i="19"/>
  <c r="P55" i="19"/>
  <c r="AB45" i="19"/>
  <c r="V25" i="19"/>
  <c r="V35" i="19"/>
  <c r="V55" i="19"/>
  <c r="AB15" i="19"/>
  <c r="J35" i="19"/>
  <c r="AH45" i="19"/>
  <c r="P25" i="19"/>
  <c r="J55" i="19"/>
  <c r="P35" i="19"/>
  <c r="P15"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H41" i="19" l="1"/>
  <c r="AI41" i="19"/>
  <c r="W11" i="19"/>
  <c r="Q51" i="19"/>
  <c r="W21" i="19"/>
  <c r="AC11" i="19"/>
  <c r="AI51" i="19"/>
  <c r="W41" i="19"/>
  <c r="K41" i="19"/>
  <c r="AI11" i="19"/>
  <c r="AC41" i="19"/>
  <c r="AI21" i="19"/>
  <c r="Q31" i="19"/>
  <c r="W51" i="19"/>
  <c r="K51" i="19"/>
  <c r="K21" i="19"/>
  <c r="AI31" i="19"/>
  <c r="Q41" i="19"/>
  <c r="K11" i="19"/>
  <c r="AC31" i="19"/>
  <c r="AC51" i="19"/>
  <c r="W31" i="19"/>
  <c r="Q11" i="19"/>
  <c r="AC21" i="19"/>
  <c r="K31" i="19"/>
  <c r="Q2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<sst xmlns="http://schemas.openxmlformats.org/spreadsheetml/2006/main" count="371" uniqueCount="234">
  <si>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</si>
  <si>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</si>
  <si>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</si>
  <si>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</si>
  <si>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</si>
  <si>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</si>
  <si>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</si>
  <si>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</si>
  <si>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</si>
  <si>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</si>
  <si>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</si>
  <si>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</si>
  <si>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</si>
  <si>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</si>
  <si>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</si>
  <si>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</si>
  <si>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</si>
  <si>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</si>
  <si>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</si>
  <si>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</si>
  <si>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</si>
  <si>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</si>
  <si>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</si>
  <si>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</si>
  <si>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</si>
  <si>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</si>
  <si>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</si>
  <si>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</si>
  <si>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</si>
  <si>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</si>
  <si>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</si>
  <si>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</si>
  <si>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</si>
  <si>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</si>
  <si>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</si>
  <si>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</si>
  <si>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</si>
  <si>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</si>
  <si>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</si>
  <si>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</si>
  <si>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</si>
  <si>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</si>
  <si>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</si>
  <si>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</si>
  <si>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</si>
  <si>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</si>
  <si>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</si>
  <si>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</si>
  <si>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</si>
  <si>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</si>
  <si>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</si>
  <si>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</si>
  <si>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</si>
  <si>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</si>
  <si>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</si>
  <si>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</si>
  <si>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</si>
  <si>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</si>
  <si>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</si>
  <si>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</si>
  <si>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</si>
  <si>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</si>
  <si>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</si>
  <si>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</si>
  <si>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</si>
  <si>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</si>
  <si>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</si>
  <si>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</si>
  <si>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</si>
  <si>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</si>
  <si>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</si>
  <si>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</si>
  <si>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</si>
  <si>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</si>
  <si>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</si>
  <si>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</si>
  <si>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</si>
  <si>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</si>
  <si>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</si>
  <si>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</si>
  <si>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</si>
  <si>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</si>
  <si>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</si>
  <si>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</si>
  <si>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</si>
  <si>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</si>
  <si>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</si>
  <si>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</si>
  <si>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</si>
  <si>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</si>
  <si>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</si>
  <si>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</si>
  <si>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</si>
  <si>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</si>
  <si>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</si>
  <si>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</si>
  <si>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</si>
  <si>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</si>
  <si>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</si>
  <si>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</si>
  <si>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</si>
  <si>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</si>
  <si>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</si>
  <si>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</si>
  <si>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</si>
  <si>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</si>
  <si>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</si>
  <si>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</si>
  <si>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</si>
  <si>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</si>
  <si>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</si>
  <si>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</si>
  <si>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</si>
  <si>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</si>
  <si>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</si>
  <si>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</si>
  <si>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</si>
  <si>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</si>
  <si>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</si>
  <si>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</si>
  <si>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</si>
  <si>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</si>
  <si>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</si>
  <si>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</si>
  <si>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</si>
  <si>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</si>
  <si>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</si>
  <si>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</si>
  <si>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</si>
  <si>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</si>
  <si>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</si>
  <si>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</si>
  <si>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</si>
  <si>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</si>
  <si>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</si>
  <si>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</si>
  <si>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</si>
  <si>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</si>
  <si>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</si>
  <si>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</si>
  <si>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</si>
  <si>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</si>
  <si>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</si>
  <si>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</si>
  <si>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</si>
  <si>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</si>
  <si>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</si>
  <si>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</si>
  <si>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</si>
  <si>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</si>
  <si>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</si>
  <si>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</si>
  <si>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</si>
  <si>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</si>
  <si>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</si>
  <si>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</si>
  <si>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</si>
  <si>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</si>
  <si>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</si>
  <si>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</si>
  <si>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</si>
  <si>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</si>
  <si>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</si>
  <si>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</si>
  <si>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</si>
  <si>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</si>
  <si>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</si>
  <si>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</si>
  <si>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</si>
  <si>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</si>
  <si>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</si>
  <si>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</si>
  <si>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</si>
  <si>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</si>
  <si>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</si>
  <si>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</si>
  <si>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</si>
  <si>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</si>
  <si>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</si>
  <si>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</si>
  <si>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</si>
  <si>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</si>
  <si>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</si>
  <si>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</si>
  <si>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</si>
  <si>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</si>
  <si>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</si>
  <si>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</si>
  <si>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</si>
  <si>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</si>
  <si>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</si>
  <si>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</si>
  <si>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</si>
  <si>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</si>
  <si>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</si>
  <si>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</si>
  <si>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</si>
  <si>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</si>
  <si>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</si>
  <si>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</si>
  <si>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</si>
  <si>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</si>
  <si>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</si>
  <si>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</si>
  <si>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</si>
  <si>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</si>
  <si>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</si>
  <si>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</si>
  <si>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</si>
  <si>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</si>
  <si>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</si>
  <si>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</si>
  <si>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</si>
  <si>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</si>
  <si>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GESTIÓN ESTRATÉGICA DEL TALENTO HUMANO</t>
  </si>
  <si>
    <t xml:space="preserve">Garantizar la implementación y realización de todas las estrategias y actividades que apuntan a desarrollar y cuidar la salud, el intelecto y la calidad de vida de los funcionarios que laboran en la Promotora de Eventos y Turismo </t>
  </si>
  <si>
    <t>Incluye la prestación de los servicios de bienestar, seguridad y salud en el trabajo, administración de la nómina y situaciones administrativas y formación y capacitación</t>
  </si>
  <si>
    <t>Fuga de conocimiento</t>
  </si>
  <si>
    <t xml:space="preserve">Falta de documentación de los procesos y las actividades que se realizan </t>
  </si>
  <si>
    <t xml:space="preserve">Posibilidad de afectación reputacional por la fuga de conocimiento como consecuencia de la falta de documentación de los procesos y las actividades que se realizan </t>
  </si>
  <si>
    <t xml:space="preserve">Desmotivación del personal </t>
  </si>
  <si>
    <t xml:space="preserve">Incumplimiento de los planes de talento humano </t>
  </si>
  <si>
    <t xml:space="preserve">Posibilidad de afectación reputacional por la desmotivación del personal debido al incumplimiento de los planes de talento humano </t>
  </si>
  <si>
    <t xml:space="preserve">Pérdida de imagen y sanciones disciplinarias y fiscales </t>
  </si>
  <si>
    <t xml:space="preserve">Fraude de funcionarios </t>
  </si>
  <si>
    <t xml:space="preserve">Posibilidad de afectación económica y reputacional por la pérdida de imagen y la imposición de sanciones disciplinarias y/o fiscales por fraude realizado por funcionarios </t>
  </si>
  <si>
    <t xml:space="preserve">El Secretario General de la entidad como jefe de talento humano, solicita a los funcionarios salientes, el formato de entrega del puesto de trabajo diligenciado con el fin de entregárselo al funcionario entrante </t>
  </si>
  <si>
    <t>La Secretaría General realiza una reunión mensual con el fin de revisar el cumplimiento del Plan de Bienestar e Incentivos y tomar acciones de ser necesario</t>
  </si>
  <si>
    <t xml:space="preserve">La Secretaría General realiza sensibilizaciones a los funcionarios en el Código de Integridad para crear conciencia de las conductas apropiadas como servidores públicos </t>
  </si>
  <si>
    <t xml:space="preserve">Pérdida de la confianza ciudadana </t>
  </si>
  <si>
    <t xml:space="preserve">Debido a favorecer intereses ajenos al bien común al no manifestar y/o declarar un conflicto de interés </t>
  </si>
  <si>
    <t xml:space="preserve">Posibilidad de afectación reputacional por la pérdida de la confianza ciudadana debido a favorecer intereses ajenos al bien común al no manifestar y/o declarar un conflicto de interés </t>
  </si>
  <si>
    <t xml:space="preserve">La Promotora de Eventos tiene incluido en su Ccódigo de Integridad el procedimiento para manifestar la vivencia de un conflicto de interés, propio o de un tercero, que debe ser aplicado por los funcionarios de la entidad </t>
  </si>
  <si>
    <t xml:space="preserve">La Secretaría General se encarga de que los funcionarios y contratistas de la entidad presenten la declaración de conflictos de interés de acuerdo a la Ley 2013 de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</si>
</sst>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8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71" xfId="0" applyFont="1" applyBorder="1" applyAlignment="1" applyProtection="1">
      <alignment horizontal="justify" vertical="center" wrapText="1"/>
      <protection locked="0"/>
    </xf>
    <xf numFmtId="0" fontId="58" fillId="0" borderId="71" xfId="0" applyFont="1" applyBorder="1" applyAlignment="1" applyProtection="1">
      <alignment horizontal="justify" vertical="center"/>
      <protection locked="0"/>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9" fillId="0" borderId="70" xfId="0" applyFont="1" applyBorder="1" applyAlignment="1" applyProtection="1">
      <alignment horizontal="justify" vertical="center" wrapText="1"/>
      <protection locked="0"/>
    </xf>
    <xf numFmtId="0" fontId="59" fillId="0" borderId="18" xfId="0" applyFont="1" applyBorder="1" applyAlignment="1" applyProtection="1">
      <alignment horizontal="justify" vertical="center" wrapText="1"/>
      <protection locked="0"/>
    </xf>
    <xf numFmtId="0" fontId="55" fillId="0" borderId="72" xfId="0" applyFont="1" applyBorder="1" applyAlignment="1">
      <alignment horizontal="center" vertical="center"/>
    </xf>
    <xf numFmtId="0" fontId="59" fillId="0" borderId="69" xfId="0" applyFont="1" applyBorder="1" applyAlignment="1" applyProtection="1">
      <alignment horizontal="justify" vertical="center" wrapText="1"/>
      <protection locked="0"/>
    </xf>
    <xf numFmtId="0" fontId="55" fillId="0" borderId="72" xfId="0" applyFont="1" applyBorder="1" applyAlignment="1" applyProtection="1">
      <alignment horizontal="center" vertical="center"/>
      <protection hidden="1"/>
    </xf>
    <xf numFmtId="0" fontId="55" fillId="0" borderId="72" xfId="0" applyFont="1" applyBorder="1" applyAlignment="1" applyProtection="1">
      <alignment horizontal="center" vertical="center" textRotation="90"/>
      <protection locked="0"/>
    </xf>
    <xf numFmtId="9" fontId="55" fillId="0" borderId="72" xfId="0" applyNumberFormat="1" applyFont="1" applyBorder="1" applyAlignment="1" applyProtection="1">
      <alignment horizontal="center" vertical="center"/>
      <protection hidden="1"/>
    </xf>
    <xf numFmtId="164" fontId="55" fillId="0" borderId="72" xfId="1" applyNumberFormat="1" applyFont="1" applyBorder="1" applyAlignment="1">
      <alignment horizontal="center" vertical="center"/>
    </xf>
    <xf numFmtId="0" fontId="56" fillId="0" borderId="72" xfId="0" applyFont="1" applyBorder="1" applyAlignment="1" applyProtection="1">
      <alignment horizontal="center" vertical="center" textRotation="90" wrapText="1"/>
      <protection hidden="1"/>
    </xf>
    <xf numFmtId="0" fontId="56" fillId="0" borderId="72" xfId="0" applyFont="1" applyBorder="1" applyAlignment="1" applyProtection="1">
      <alignment horizontal="center" vertical="center" textRotation="90"/>
      <protection hidden="1"/>
    </xf>
    <xf numFmtId="0" fontId="55" fillId="0" borderId="72" xfId="0" applyFont="1" applyBorder="1" applyAlignment="1" applyProtection="1">
      <alignment horizontal="center" vertical="center" wrapText="1"/>
      <protection locked="0"/>
    </xf>
    <xf numFmtId="0" fontId="55" fillId="0" borderId="19" xfId="0" applyFont="1" applyBorder="1" applyAlignment="1">
      <alignment horizontal="center" vertical="center"/>
    </xf>
    <xf numFmtId="0" fontId="55" fillId="0" borderId="19" xfId="0" applyFont="1" applyBorder="1" applyAlignment="1" applyProtection="1">
      <alignment horizontal="justify" vertical="center"/>
      <protection locked="0"/>
    </xf>
    <xf numFmtId="0" fontId="55" fillId="0" borderId="19" xfId="0" applyFont="1" applyBorder="1" applyAlignment="1" applyProtection="1">
      <alignment horizontal="center" vertical="center" textRotation="90"/>
      <protection locked="0"/>
    </xf>
    <xf numFmtId="0" fontId="55" fillId="0" borderId="19" xfId="0" applyFont="1" applyBorder="1" applyAlignment="1" applyProtection="1">
      <alignment horizontal="justify" vertical="center" wrapText="1"/>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6" fillId="0" borderId="19" xfId="0" applyFont="1" applyBorder="1" applyAlignment="1" applyProtection="1">
      <alignment horizontal="center" vertical="center" wrapText="1"/>
      <protection hidden="1"/>
    </xf>
    <xf numFmtId="9" fontId="55" fillId="0" borderId="19" xfId="0" applyNumberFormat="1" applyFont="1" applyBorder="1" applyAlignment="1" applyProtection="1">
      <alignment horizontal="center" vertical="center" wrapText="1"/>
      <protection hidden="1"/>
    </xf>
    <xf numFmtId="0" fontId="56" fillId="0" borderId="19" xfId="0" applyFont="1" applyBorder="1" applyAlignment="1" applyProtection="1">
      <alignment horizontal="center" vertical="center"/>
      <protection hidden="1"/>
    </xf>
    <xf numFmtId="0" fontId="58" fillId="0" borderId="18" xfId="0" applyFont="1" applyBorder="1" applyAlignment="1" applyProtection="1">
      <alignment horizontal="center" vertical="center" wrapText="1"/>
      <protection locked="0"/>
    </xf>
    <xf numFmtId="0" fontId="55" fillId="0" borderId="19" xfId="0" applyFont="1" applyBorder="1" applyAlignment="1">
      <alignment horizontal="center" vertical="center"/>
    </xf>
    <xf numFmtId="0" fontId="55" fillId="0" borderId="19" xfId="0" applyFont="1" applyBorder="1" applyAlignment="1" applyProtection="1">
      <alignment horizontal="center" vertical="center" wrapText="1"/>
      <protection locked="0"/>
    </xf>
    <xf numFmtId="0" fontId="58" fillId="0" borderId="18" xfId="0" applyFont="1" applyFill="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9" fontId="55" fillId="0" borderId="19"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protection locked="0"/>
    </xf>
    <xf numFmtId="9" fontId="55" fillId="0" borderId="72" xfId="0" applyNumberFormat="1" applyFont="1" applyBorder="1" applyAlignment="1" applyProtection="1">
      <alignment horizontal="center" vertical="center" wrapText="1"/>
      <protection locked="0"/>
    </xf>
    <xf numFmtId="9" fontId="55" fillId="0" borderId="72" xfId="0" applyNumberFormat="1" applyFont="1" applyBorder="1" applyAlignment="1" applyProtection="1">
      <alignment horizontal="center" vertical="center" wrapText="1"/>
      <protection hidden="1"/>
    </xf>
    <xf numFmtId="0" fontId="56" fillId="0" borderId="72" xfId="0" applyFont="1" applyBorder="1" applyAlignment="1" applyProtection="1">
      <alignment horizontal="center" vertical="center" wrapText="1"/>
      <protection hidden="1"/>
    </xf>
    <xf numFmtId="0" fontId="56" fillId="0" borderId="72" xfId="0" applyFont="1" applyBorder="1" applyAlignment="1" applyProtection="1">
      <alignment horizontal="center" vertical="center"/>
      <protection hidden="1"/>
    </xf>
    <xf numFmtId="0" fontId="55" fillId="0" borderId="72" xfId="0" applyFont="1" applyBorder="1" applyAlignment="1">
      <alignment horizontal="center" vertical="center"/>
    </xf>
    <xf numFmtId="0" fontId="55" fillId="0" borderId="72" xfId="0"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58" fillId="0" borderId="72" xfId="0" applyFont="1" applyBorder="1" applyAlignment="1" applyProtection="1">
      <alignment horizontal="center" vertical="center"/>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882805</xdr:colOff>
      <xdr:row>56</xdr:row>
      <xdr:rowOff>58081</xdr:rowOff>
    </xdr:from>
    <xdr:to>
      <xdr:col>27</xdr:col>
      <xdr:colOff>557561</xdr:colOff>
      <xdr:row>57</xdr:row>
      <xdr:rowOff>0</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8049" y="11859788"/>
          <a:ext cx="16529360" cy="1161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1B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77" t="s">
        <v>158</v>
      </c>
      <c r="C2" s="178"/>
      <c r="D2" s="178"/>
      <c r="E2" s="178"/>
      <c r="F2" s="178"/>
      <c r="G2" s="178"/>
      <c r="H2" s="179"/>
    </row>
    <row r="3" spans="2:8" x14ac:dyDescent="0.25">
      <c r="B3" s="50"/>
      <c r="C3" s="51"/>
      <c r="D3" s="51"/>
      <c r="E3" s="51"/>
      <c r="F3" s="51"/>
      <c r="G3" s="51"/>
      <c r="H3" s="52"/>
    </row>
    <row r="4" spans="2:8" ht="63" customHeight="1" x14ac:dyDescent="0.25">
      <c r="B4" s="180" t="s">
        <v>201</v>
      </c>
      <c r="C4" s="181"/>
      <c r="D4" s="181"/>
      <c r="E4" s="181"/>
      <c r="F4" s="181"/>
      <c r="G4" s="181"/>
      <c r="H4" s="182"/>
    </row>
    <row r="5" spans="2:8" ht="63" customHeight="1" x14ac:dyDescent="0.25">
      <c r="B5" s="183"/>
      <c r="C5" s="184"/>
      <c r="D5" s="184"/>
      <c r="E5" s="184"/>
      <c r="F5" s="184"/>
      <c r="G5" s="184"/>
      <c r="H5" s="185"/>
    </row>
    <row r="6" spans="2:8" ht="16.5" x14ac:dyDescent="0.25">
      <c r="B6" s="186" t="s">
        <v>156</v>
      </c>
      <c r="C6" s="187"/>
      <c r="D6" s="187"/>
      <c r="E6" s="187"/>
      <c r="F6" s="187"/>
      <c r="G6" s="187"/>
      <c r="H6" s="188"/>
    </row>
    <row r="7" spans="2:8" ht="95.25" customHeight="1" x14ac:dyDescent="0.25">
      <c r="B7" s="196" t="s">
        <v>161</v>
      </c>
      <c r="C7" s="197"/>
      <c r="D7" s="197"/>
      <c r="E7" s="197"/>
      <c r="F7" s="197"/>
      <c r="G7" s="197"/>
      <c r="H7" s="198"/>
    </row>
    <row r="8" spans="2:8" ht="16.5" x14ac:dyDescent="0.25">
      <c r="B8" s="86"/>
      <c r="C8" s="87"/>
      <c r="D8" s="87"/>
      <c r="E8" s="87"/>
      <c r="F8" s="87"/>
      <c r="G8" s="87"/>
      <c r="H8" s="88"/>
    </row>
    <row r="9" spans="2:8" ht="16.5" customHeight="1" x14ac:dyDescent="0.25">
      <c r="B9" s="189" t="s">
        <v>194</v>
      </c>
      <c r="C9" s="190"/>
      <c r="D9" s="190"/>
      <c r="E9" s="190"/>
      <c r="F9" s="190"/>
      <c r="G9" s="190"/>
      <c r="H9" s="191"/>
    </row>
    <row r="10" spans="2:8" ht="44.25" customHeight="1" x14ac:dyDescent="0.25">
      <c r="B10" s="189"/>
      <c r="C10" s="190"/>
      <c r="D10" s="190"/>
      <c r="E10" s="190"/>
      <c r="F10" s="190"/>
      <c r="G10" s="190"/>
      <c r="H10" s="191"/>
    </row>
    <row r="11" spans="2:8" ht="15.75" thickBot="1" x14ac:dyDescent="0.3">
      <c r="B11" s="75"/>
      <c r="C11" s="78"/>
      <c r="D11" s="83"/>
      <c r="E11" s="84"/>
      <c r="F11" s="84"/>
      <c r="G11" s="85"/>
      <c r="H11" s="79"/>
    </row>
    <row r="12" spans="2:8" ht="15.75" thickTop="1" x14ac:dyDescent="0.25">
      <c r="B12" s="75"/>
      <c r="C12" s="192" t="s">
        <v>157</v>
      </c>
      <c r="D12" s="193"/>
      <c r="E12" s="194" t="s">
        <v>195</v>
      </c>
      <c r="F12" s="195"/>
      <c r="G12" s="78"/>
      <c r="H12" s="79"/>
    </row>
    <row r="13" spans="2:8" ht="35.25" customHeight="1" x14ac:dyDescent="0.25">
      <c r="B13" s="75"/>
      <c r="C13" s="164" t="s">
        <v>188</v>
      </c>
      <c r="D13" s="165"/>
      <c r="E13" s="166" t="s">
        <v>193</v>
      </c>
      <c r="F13" s="167"/>
      <c r="G13" s="78"/>
      <c r="H13" s="79"/>
    </row>
    <row r="14" spans="2:8" ht="17.25" customHeight="1" x14ac:dyDescent="0.25">
      <c r="B14" s="75"/>
      <c r="C14" s="164" t="s">
        <v>189</v>
      </c>
      <c r="D14" s="165"/>
      <c r="E14" s="166" t="s">
        <v>191</v>
      </c>
      <c r="F14" s="167"/>
      <c r="G14" s="78"/>
      <c r="H14" s="79"/>
    </row>
    <row r="15" spans="2:8" ht="19.5" customHeight="1" x14ac:dyDescent="0.25">
      <c r="B15" s="75"/>
      <c r="C15" s="164" t="s">
        <v>190</v>
      </c>
      <c r="D15" s="165"/>
      <c r="E15" s="166" t="s">
        <v>192</v>
      </c>
      <c r="F15" s="167"/>
      <c r="G15" s="78"/>
      <c r="H15" s="79"/>
    </row>
    <row r="16" spans="2:8" ht="69.75" customHeight="1" x14ac:dyDescent="0.25">
      <c r="B16" s="75"/>
      <c r="C16" s="164" t="s">
        <v>159</v>
      </c>
      <c r="D16" s="165"/>
      <c r="E16" s="166" t="s">
        <v>160</v>
      </c>
      <c r="F16" s="167"/>
      <c r="G16" s="78"/>
      <c r="H16" s="79"/>
    </row>
    <row r="17" spans="2:8" ht="34.5" customHeight="1" x14ac:dyDescent="0.25">
      <c r="B17" s="75"/>
      <c r="C17" s="168" t="s">
        <v>2</v>
      </c>
      <c r="D17" s="169"/>
      <c r="E17" s="160" t="s">
        <v>202</v>
      </c>
      <c r="F17" s="161"/>
      <c r="G17" s="78"/>
      <c r="H17" s="79"/>
    </row>
    <row r="18" spans="2:8" ht="27.75" customHeight="1" x14ac:dyDescent="0.25">
      <c r="B18" s="75"/>
      <c r="C18" s="168" t="s">
        <v>3</v>
      </c>
      <c r="D18" s="169"/>
      <c r="E18" s="160" t="s">
        <v>203</v>
      </c>
      <c r="F18" s="161"/>
      <c r="G18" s="78"/>
      <c r="H18" s="79"/>
    </row>
    <row r="19" spans="2:8" ht="28.5" customHeight="1" x14ac:dyDescent="0.25">
      <c r="B19" s="75"/>
      <c r="C19" s="168" t="s">
        <v>42</v>
      </c>
      <c r="D19" s="169"/>
      <c r="E19" s="160" t="s">
        <v>204</v>
      </c>
      <c r="F19" s="161"/>
      <c r="G19" s="78"/>
      <c r="H19" s="79"/>
    </row>
    <row r="20" spans="2:8" ht="72.75" customHeight="1" x14ac:dyDescent="0.25">
      <c r="B20" s="75"/>
      <c r="C20" s="168" t="s">
        <v>1</v>
      </c>
      <c r="D20" s="169"/>
      <c r="E20" s="160" t="s">
        <v>205</v>
      </c>
      <c r="F20" s="161"/>
      <c r="G20" s="78"/>
      <c r="H20" s="79"/>
    </row>
    <row r="21" spans="2:8" ht="64.5" customHeight="1" x14ac:dyDescent="0.25">
      <c r="B21" s="75"/>
      <c r="C21" s="168" t="s">
        <v>48</v>
      </c>
      <c r="D21" s="169"/>
      <c r="E21" s="160" t="s">
        <v>163</v>
      </c>
      <c r="F21" s="161"/>
      <c r="G21" s="78"/>
      <c r="H21" s="79"/>
    </row>
    <row r="22" spans="2:8" ht="71.25" customHeight="1" x14ac:dyDescent="0.25">
      <c r="B22" s="75"/>
      <c r="C22" s="168" t="s">
        <v>162</v>
      </c>
      <c r="D22" s="169"/>
      <c r="E22" s="160" t="s">
        <v>164</v>
      </c>
      <c r="F22" s="161"/>
      <c r="G22" s="78"/>
      <c r="H22" s="79"/>
    </row>
    <row r="23" spans="2:8" ht="55.5" customHeight="1" x14ac:dyDescent="0.25">
      <c r="B23" s="75"/>
      <c r="C23" s="162" t="s">
        <v>165</v>
      </c>
      <c r="D23" s="163"/>
      <c r="E23" s="160" t="s">
        <v>166</v>
      </c>
      <c r="F23" s="161"/>
      <c r="G23" s="78"/>
      <c r="H23" s="79"/>
    </row>
    <row r="24" spans="2:8" ht="42" customHeight="1" x14ac:dyDescent="0.25">
      <c r="B24" s="75"/>
      <c r="C24" s="162" t="s">
        <v>46</v>
      </c>
      <c r="D24" s="163"/>
      <c r="E24" s="160" t="s">
        <v>167</v>
      </c>
      <c r="F24" s="161"/>
      <c r="G24" s="78"/>
      <c r="H24" s="79"/>
    </row>
    <row r="25" spans="2:8" ht="59.25" customHeight="1" x14ac:dyDescent="0.25">
      <c r="B25" s="75"/>
      <c r="C25" s="162" t="s">
        <v>155</v>
      </c>
      <c r="D25" s="163"/>
      <c r="E25" s="160" t="s">
        <v>168</v>
      </c>
      <c r="F25" s="161"/>
      <c r="G25" s="78"/>
      <c r="H25" s="79"/>
    </row>
    <row r="26" spans="2:8" ht="23.25" customHeight="1" x14ac:dyDescent="0.25">
      <c r="B26" s="75"/>
      <c r="C26" s="162" t="s">
        <v>12</v>
      </c>
      <c r="D26" s="163"/>
      <c r="E26" s="160" t="s">
        <v>169</v>
      </c>
      <c r="F26" s="161"/>
      <c r="G26" s="78"/>
      <c r="H26" s="79"/>
    </row>
    <row r="27" spans="2:8" ht="30.75" customHeight="1" x14ac:dyDescent="0.25">
      <c r="B27" s="75"/>
      <c r="C27" s="162" t="s">
        <v>173</v>
      </c>
      <c r="D27" s="163"/>
      <c r="E27" s="160" t="s">
        <v>170</v>
      </c>
      <c r="F27" s="161"/>
      <c r="G27" s="78"/>
      <c r="H27" s="79"/>
    </row>
    <row r="28" spans="2:8" ht="35.25" customHeight="1" x14ac:dyDescent="0.25">
      <c r="B28" s="75"/>
      <c r="C28" s="162" t="s">
        <v>174</v>
      </c>
      <c r="D28" s="163"/>
      <c r="E28" s="160" t="s">
        <v>171</v>
      </c>
      <c r="F28" s="161"/>
      <c r="G28" s="78"/>
      <c r="H28" s="79"/>
    </row>
    <row r="29" spans="2:8" ht="33" customHeight="1" x14ac:dyDescent="0.25">
      <c r="B29" s="75"/>
      <c r="C29" s="162" t="s">
        <v>174</v>
      </c>
      <c r="D29" s="163"/>
      <c r="E29" s="160" t="s">
        <v>171</v>
      </c>
      <c r="F29" s="161"/>
      <c r="G29" s="78"/>
      <c r="H29" s="79"/>
    </row>
    <row r="30" spans="2:8" ht="30" customHeight="1" x14ac:dyDescent="0.25">
      <c r="B30" s="75"/>
      <c r="C30" s="162" t="s">
        <v>175</v>
      </c>
      <c r="D30" s="163"/>
      <c r="E30" s="160" t="s">
        <v>172</v>
      </c>
      <c r="F30" s="161"/>
      <c r="G30" s="78"/>
      <c r="H30" s="79"/>
    </row>
    <row r="31" spans="2:8" ht="35.25" customHeight="1" x14ac:dyDescent="0.25">
      <c r="B31" s="75"/>
      <c r="C31" s="162" t="s">
        <v>176</v>
      </c>
      <c r="D31" s="163"/>
      <c r="E31" s="160" t="s">
        <v>177</v>
      </c>
      <c r="F31" s="161"/>
      <c r="G31" s="78"/>
      <c r="H31" s="79"/>
    </row>
    <row r="32" spans="2:8" ht="31.5" customHeight="1" x14ac:dyDescent="0.25">
      <c r="B32" s="75"/>
      <c r="C32" s="162" t="s">
        <v>178</v>
      </c>
      <c r="D32" s="163"/>
      <c r="E32" s="160" t="s">
        <v>179</v>
      </c>
      <c r="F32" s="161"/>
      <c r="G32" s="78"/>
      <c r="H32" s="79"/>
    </row>
    <row r="33" spans="2:8" ht="35.25" customHeight="1" x14ac:dyDescent="0.25">
      <c r="B33" s="75"/>
      <c r="C33" s="162" t="s">
        <v>180</v>
      </c>
      <c r="D33" s="163"/>
      <c r="E33" s="160" t="s">
        <v>181</v>
      </c>
      <c r="F33" s="161"/>
      <c r="G33" s="78"/>
      <c r="H33" s="79"/>
    </row>
    <row r="34" spans="2:8" ht="59.25" customHeight="1" x14ac:dyDescent="0.25">
      <c r="B34" s="75"/>
      <c r="C34" s="162" t="s">
        <v>182</v>
      </c>
      <c r="D34" s="163"/>
      <c r="E34" s="160" t="s">
        <v>183</v>
      </c>
      <c r="F34" s="161"/>
      <c r="G34" s="78"/>
      <c r="H34" s="79"/>
    </row>
    <row r="35" spans="2:8" ht="29.25" customHeight="1" x14ac:dyDescent="0.25">
      <c r="B35" s="75"/>
      <c r="C35" s="162" t="s">
        <v>29</v>
      </c>
      <c r="D35" s="163"/>
      <c r="E35" s="160" t="s">
        <v>184</v>
      </c>
      <c r="F35" s="161"/>
      <c r="G35" s="78"/>
      <c r="H35" s="79"/>
    </row>
    <row r="36" spans="2:8" ht="82.5" customHeight="1" x14ac:dyDescent="0.25">
      <c r="B36" s="75"/>
      <c r="C36" s="162" t="s">
        <v>186</v>
      </c>
      <c r="D36" s="163"/>
      <c r="E36" s="160" t="s">
        <v>185</v>
      </c>
      <c r="F36" s="161"/>
      <c r="G36" s="78"/>
      <c r="H36" s="79"/>
    </row>
    <row r="37" spans="2:8" ht="46.5" customHeight="1" x14ac:dyDescent="0.25">
      <c r="B37" s="75"/>
      <c r="C37" s="162" t="s">
        <v>39</v>
      </c>
      <c r="D37" s="163"/>
      <c r="E37" s="160" t="s">
        <v>187</v>
      </c>
      <c r="F37" s="161"/>
      <c r="G37" s="78"/>
      <c r="H37" s="79"/>
    </row>
    <row r="38" spans="2:8" ht="6.75" customHeight="1" thickBot="1" x14ac:dyDescent="0.3">
      <c r="B38" s="75"/>
      <c r="C38" s="173"/>
      <c r="D38" s="174"/>
      <c r="E38" s="175"/>
      <c r="F38" s="176"/>
      <c r="G38" s="78"/>
      <c r="H38" s="79"/>
    </row>
    <row r="39" spans="2:8" ht="15.75" thickTop="1" x14ac:dyDescent="0.25">
      <c r="B39" s="75"/>
      <c r="C39" s="76"/>
      <c r="D39" s="76"/>
      <c r="E39" s="77"/>
      <c r="F39" s="77"/>
      <c r="G39" s="78"/>
      <c r="H39" s="79"/>
    </row>
    <row r="40" spans="2:8" ht="21" customHeight="1" x14ac:dyDescent="0.25">
      <c r="B40" s="170" t="s">
        <v>196</v>
      </c>
      <c r="C40" s="171"/>
      <c r="D40" s="171"/>
      <c r="E40" s="171"/>
      <c r="F40" s="171"/>
      <c r="G40" s="171"/>
      <c r="H40" s="172"/>
    </row>
    <row r="41" spans="2:8" ht="20.25" customHeight="1" x14ac:dyDescent="0.25">
      <c r="B41" s="170" t="s">
        <v>197</v>
      </c>
      <c r="C41" s="171"/>
      <c r="D41" s="171"/>
      <c r="E41" s="171"/>
      <c r="F41" s="171"/>
      <c r="G41" s="171"/>
      <c r="H41" s="172"/>
    </row>
    <row r="42" spans="2:8" ht="20.25" customHeight="1" x14ac:dyDescent="0.25">
      <c r="B42" s="170" t="s">
        <v>198</v>
      </c>
      <c r="C42" s="171"/>
      <c r="D42" s="171"/>
      <c r="E42" s="171"/>
      <c r="F42" s="171"/>
      <c r="G42" s="171"/>
      <c r="H42" s="172"/>
    </row>
    <row r="43" spans="2:8" ht="20.25" customHeight="1" x14ac:dyDescent="0.25">
      <c r="B43" s="170" t="s">
        <v>199</v>
      </c>
      <c r="C43" s="171"/>
      <c r="D43" s="171"/>
      <c r="E43" s="171"/>
      <c r="F43" s="171"/>
      <c r="G43" s="171"/>
      <c r="H43" s="172"/>
    </row>
    <row r="44" spans="2:8" x14ac:dyDescent="0.25">
      <c r="B44" s="170" t="s">
        <v>200</v>
      </c>
      <c r="C44" s="171"/>
      <c r="D44" s="171"/>
      <c r="E44" s="171"/>
      <c r="F44" s="171"/>
      <c r="G44" s="171"/>
      <c r="H44" s="172"/>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2" zoomScaleNormal="82" workbookViewId="0">
      <selection activeCell="C3" sqref="C3:AJ3"/>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99"/>
      <c r="B1" s="199"/>
      <c r="C1" s="199"/>
      <c r="D1" s="199"/>
      <c r="E1" s="200" t="s">
        <v>212</v>
      </c>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2" t="s">
        <v>213</v>
      </c>
      <c r="AJ1" s="199"/>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99"/>
      <c r="B2" s="199"/>
      <c r="C2" s="199"/>
      <c r="D2" s="199"/>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199"/>
      <c r="AJ2" s="199"/>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36" t="s">
        <v>209</v>
      </c>
      <c r="B3" s="236"/>
      <c r="C3" s="203" t="s">
        <v>214</v>
      </c>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0" customHeight="1" x14ac:dyDescent="0.2">
      <c r="A4" s="236" t="s">
        <v>210</v>
      </c>
      <c r="B4" s="236"/>
      <c r="C4" s="204" t="s">
        <v>215</v>
      </c>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36" t="s">
        <v>211</v>
      </c>
      <c r="B5" s="236"/>
      <c r="C5" s="204" t="s">
        <v>216</v>
      </c>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06" t="s">
        <v>133</v>
      </c>
      <c r="B6" s="206"/>
      <c r="C6" s="206"/>
      <c r="D6" s="206"/>
      <c r="E6" s="206"/>
      <c r="F6" s="206"/>
      <c r="G6" s="206"/>
      <c r="H6" s="206" t="s">
        <v>134</v>
      </c>
      <c r="I6" s="206"/>
      <c r="J6" s="206"/>
      <c r="K6" s="206"/>
      <c r="L6" s="206"/>
      <c r="M6" s="206"/>
      <c r="N6" s="206"/>
      <c r="O6" s="206" t="s">
        <v>135</v>
      </c>
      <c r="P6" s="206"/>
      <c r="Q6" s="206"/>
      <c r="R6" s="206"/>
      <c r="S6" s="206"/>
      <c r="T6" s="206"/>
      <c r="U6" s="206"/>
      <c r="V6" s="206"/>
      <c r="W6" s="206"/>
      <c r="X6" s="206" t="s">
        <v>136</v>
      </c>
      <c r="Y6" s="206"/>
      <c r="Z6" s="206"/>
      <c r="AA6" s="206"/>
      <c r="AB6" s="206"/>
      <c r="AC6" s="206"/>
      <c r="AD6" s="206"/>
      <c r="AE6" s="206" t="s">
        <v>34</v>
      </c>
      <c r="AF6" s="206"/>
      <c r="AG6" s="206"/>
      <c r="AH6" s="206"/>
      <c r="AI6" s="206"/>
      <c r="AJ6" s="206"/>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37" t="s">
        <v>0</v>
      </c>
      <c r="B7" s="234" t="s">
        <v>2</v>
      </c>
      <c r="C7" s="233" t="s">
        <v>3</v>
      </c>
      <c r="D7" s="233" t="s">
        <v>42</v>
      </c>
      <c r="E7" s="234" t="s">
        <v>1</v>
      </c>
      <c r="F7" s="233" t="s">
        <v>48</v>
      </c>
      <c r="G7" s="233" t="s">
        <v>129</v>
      </c>
      <c r="H7" s="233" t="s">
        <v>33</v>
      </c>
      <c r="I7" s="234" t="s">
        <v>5</v>
      </c>
      <c r="J7" s="233" t="s">
        <v>85</v>
      </c>
      <c r="K7" s="233" t="s">
        <v>90</v>
      </c>
      <c r="L7" s="233" t="s">
        <v>43</v>
      </c>
      <c r="M7" s="234" t="s">
        <v>5</v>
      </c>
      <c r="N7" s="233" t="s">
        <v>46</v>
      </c>
      <c r="O7" s="235" t="s">
        <v>11</v>
      </c>
      <c r="P7" s="233" t="s">
        <v>155</v>
      </c>
      <c r="Q7" s="233" t="s">
        <v>12</v>
      </c>
      <c r="R7" s="233" t="s">
        <v>8</v>
      </c>
      <c r="S7" s="233"/>
      <c r="T7" s="233"/>
      <c r="U7" s="233"/>
      <c r="V7" s="233"/>
      <c r="W7" s="233"/>
      <c r="X7" s="235" t="s">
        <v>132</v>
      </c>
      <c r="Y7" s="235" t="s">
        <v>44</v>
      </c>
      <c r="Z7" s="235" t="s">
        <v>5</v>
      </c>
      <c r="AA7" s="235" t="s">
        <v>45</v>
      </c>
      <c r="AB7" s="235" t="s">
        <v>5</v>
      </c>
      <c r="AC7" s="235" t="s">
        <v>47</v>
      </c>
      <c r="AD7" s="235" t="s">
        <v>29</v>
      </c>
      <c r="AE7" s="233" t="s">
        <v>34</v>
      </c>
      <c r="AF7" s="233" t="s">
        <v>35</v>
      </c>
      <c r="AG7" s="233" t="s">
        <v>36</v>
      </c>
      <c r="AH7" s="233" t="s">
        <v>38</v>
      </c>
      <c r="AI7" s="233" t="s">
        <v>37</v>
      </c>
      <c r="AJ7" s="233"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37"/>
      <c r="B8" s="234"/>
      <c r="C8" s="233"/>
      <c r="D8" s="233"/>
      <c r="E8" s="234"/>
      <c r="F8" s="233"/>
      <c r="G8" s="233"/>
      <c r="H8" s="233"/>
      <c r="I8" s="234"/>
      <c r="J8" s="233"/>
      <c r="K8" s="233"/>
      <c r="L8" s="234"/>
      <c r="M8" s="234"/>
      <c r="N8" s="233"/>
      <c r="O8" s="235"/>
      <c r="P8" s="233"/>
      <c r="Q8" s="233"/>
      <c r="R8" s="121" t="s">
        <v>13</v>
      </c>
      <c r="S8" s="121" t="s">
        <v>17</v>
      </c>
      <c r="T8" s="121" t="s">
        <v>28</v>
      </c>
      <c r="U8" s="121" t="s">
        <v>18</v>
      </c>
      <c r="V8" s="121" t="s">
        <v>21</v>
      </c>
      <c r="W8" s="121" t="s">
        <v>24</v>
      </c>
      <c r="X8" s="235"/>
      <c r="Y8" s="235"/>
      <c r="Z8" s="235"/>
      <c r="AA8" s="235"/>
      <c r="AB8" s="235"/>
      <c r="AC8" s="235"/>
      <c r="AD8" s="235"/>
      <c r="AE8" s="233"/>
      <c r="AF8" s="233"/>
      <c r="AG8" s="233"/>
      <c r="AH8" s="233"/>
      <c r="AI8" s="233"/>
      <c r="AJ8" s="233"/>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77.25" x14ac:dyDescent="0.2">
      <c r="A9" s="205">
        <v>1</v>
      </c>
      <c r="B9" s="209" t="s">
        <v>126</v>
      </c>
      <c r="C9" s="217" t="s">
        <v>217</v>
      </c>
      <c r="D9" s="217" t="s">
        <v>218</v>
      </c>
      <c r="E9" s="221" t="s">
        <v>219</v>
      </c>
      <c r="F9" s="209" t="s">
        <v>119</v>
      </c>
      <c r="G9" s="223">
        <v>365</v>
      </c>
      <c r="H9" s="212" t="str">
        <f>IF(G9&lt;=0,"",IF(G9&lt;=2,"Muy Baja",IF(G9&lt;=24,"Baja",IF(G9&lt;=500,"Media",IF(G9&lt;=5000,"Alta","Muy Alta")))))</f>
        <v>Media</v>
      </c>
      <c r="I9" s="207">
        <f>IF(H9="","",IF(H9="Muy Baja",0.2,IF(H9="Baja",0.4,IF(H9="Media",0.6,IF(H9="Alta",0.8,IF(H9="Muy Alta",1,))))))</f>
        <v>0.6</v>
      </c>
      <c r="J9" s="213" t="s">
        <v>146</v>
      </c>
      <c r="K9" s="207" t="str">
        <f ca="1">IF(NOT(ISERROR(MATCH(J9,'Tabla Impacto'!$B$221:$B$223,0))),'Tabla Impacto'!$F$223&amp;"Por favor no seleccionar los criterios de impacto(Afectación Económica o presupuestal y Pérdida Reputacional)",J9)</f>
        <v xml:space="preserve">     El riesgo afecta la imagen de la entidad internamente, de conocimiento general, nivel interno, de junta dircetiva y accionistas y/o de provedores</v>
      </c>
      <c r="L9" s="212" t="str">
        <f ca="1">IF(OR(K9='Tabla Impacto'!$C$11,K9='Tabla Impacto'!$D$11),"Leve",IF(OR(K9='Tabla Impacto'!$C$12,K9='Tabla Impacto'!$D$12),"Menor",IF(OR(K9='Tabla Impacto'!$C$13,K9='Tabla Impacto'!$D$13),"Moderado",IF(OR(K9='Tabla Impacto'!$C$14,K9='Tabla Impacto'!$D$14),"Mayor",IF(OR(K9='Tabla Impacto'!$C$15,K9='Tabla Impacto'!$D$15),"Catastrófico","")))))</f>
        <v>Menor</v>
      </c>
      <c r="M9" s="207">
        <f ca="1">IF(L9="","",IF(L9="Leve",0.2,IF(L9="Menor",0.4,IF(L9="Moderado",0.6,IF(L9="Mayor",0.8,IF(L9="Catastrófico",1,))))))</f>
        <v>0.4</v>
      </c>
      <c r="N9" s="208"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42" t="s">
        <v>226</v>
      </c>
      <c r="Q9" s="124" t="s">
        <v>4</v>
      </c>
      <c r="R9" s="125" t="s">
        <v>14</v>
      </c>
      <c r="S9" s="125" t="s">
        <v>9</v>
      </c>
      <c r="T9" s="126">
        <v>0.4</v>
      </c>
      <c r="U9" s="125" t="s">
        <v>19</v>
      </c>
      <c r="V9" s="125" t="s">
        <v>22</v>
      </c>
      <c r="W9" s="125" t="s">
        <v>115</v>
      </c>
      <c r="X9" s="156">
        <f>IFERROR(IF(Q9="Probabilidad",(I9-(+I9*T9)),IF(Q9="Impacto",I9,"")),"")</f>
        <v>0.36</v>
      </c>
      <c r="Y9" s="157" t="str">
        <f>IFERROR(IF(X9="","",IF(X9&lt;=0.2,"Muy Baja",IF(X9&lt;=0.4,"Baja",IF(X9&lt;=0.6,"Media",IF(X9&lt;=0.8,"Alta","Muy Alta"))))),"")</f>
        <v>Baja</v>
      </c>
      <c r="Z9" s="158">
        <f>+X9</f>
        <v>0.36</v>
      </c>
      <c r="AA9" s="157" t="str">
        <f ca="1">IFERROR(IF(AB9="","",IF(AB9&lt;=0.2,"Leve",IF(AB9&lt;=0.4,"Menor",IF(AB9&lt;=0.6,"Moderado",IF(AB9&lt;=0.8,"Mayor","Catastrófico"))))),"")</f>
        <v>Menor</v>
      </c>
      <c r="AB9" s="158">
        <f ca="1">IFERROR(IF(Q9="Impacto",(M9-(+M9*T9)),IF(Q9="Probabilidad",M9,"")),"")</f>
        <v>0.4</v>
      </c>
      <c r="AC9" s="159"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130</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x14ac:dyDescent="0.2">
      <c r="A10" s="205"/>
      <c r="B10" s="209"/>
      <c r="C10" s="217"/>
      <c r="D10" s="217"/>
      <c r="E10" s="221"/>
      <c r="F10" s="209"/>
      <c r="G10" s="223"/>
      <c r="H10" s="212"/>
      <c r="I10" s="207"/>
      <c r="J10" s="213"/>
      <c r="K10" s="207">
        <f t="shared" ref="K10:K26" ca="1" si="0">IF(NOT(ISERROR(MATCH(J10,_xlfn.ANCHORARRAY(E21),0))),I23&amp;"Por favor no seleccionar los criterios de impacto",J10)</f>
        <v>0</v>
      </c>
      <c r="L10" s="212"/>
      <c r="M10" s="207"/>
      <c r="N10" s="208"/>
      <c r="O10" s="122">
        <v>2</v>
      </c>
      <c r="P10" s="141"/>
      <c r="Q10" s="124"/>
      <c r="R10" s="125"/>
      <c r="S10" s="125"/>
      <c r="T10" s="126"/>
      <c r="U10" s="125"/>
      <c r="V10" s="125"/>
      <c r="W10" s="125"/>
      <c r="X10" s="127"/>
      <c r="Y10" s="128"/>
      <c r="Z10" s="126"/>
      <c r="AA10" s="128"/>
      <c r="AB10" s="126"/>
      <c r="AC10" s="129"/>
      <c r="AD10" s="125"/>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205"/>
      <c r="B11" s="209"/>
      <c r="C11" s="217"/>
      <c r="D11" s="217"/>
      <c r="E11" s="221"/>
      <c r="F11" s="209"/>
      <c r="G11" s="223"/>
      <c r="H11" s="212"/>
      <c r="I11" s="207"/>
      <c r="J11" s="213"/>
      <c r="K11" s="207">
        <f t="shared" ca="1" si="0"/>
        <v>0</v>
      </c>
      <c r="L11" s="212"/>
      <c r="M11" s="207"/>
      <c r="N11" s="208"/>
      <c r="O11" s="122">
        <v>3</v>
      </c>
      <c r="P11" s="137"/>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205"/>
      <c r="B12" s="209"/>
      <c r="C12" s="217"/>
      <c r="D12" s="217"/>
      <c r="E12" s="221"/>
      <c r="F12" s="209"/>
      <c r="G12" s="223"/>
      <c r="H12" s="212"/>
      <c r="I12" s="207"/>
      <c r="J12" s="213"/>
      <c r="K12" s="207">
        <f t="shared" ca="1" si="0"/>
        <v>0</v>
      </c>
      <c r="L12" s="212"/>
      <c r="M12" s="207"/>
      <c r="N12" s="208"/>
      <c r="O12" s="122">
        <v>4</v>
      </c>
      <c r="P12" s="137"/>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205"/>
      <c r="B13" s="209"/>
      <c r="C13" s="217"/>
      <c r="D13" s="217"/>
      <c r="E13" s="221"/>
      <c r="F13" s="209"/>
      <c r="G13" s="223"/>
      <c r="H13" s="212"/>
      <c r="I13" s="207"/>
      <c r="J13" s="213"/>
      <c r="K13" s="207">
        <f t="shared" ca="1" si="0"/>
        <v>0</v>
      </c>
      <c r="L13" s="212"/>
      <c r="M13" s="207"/>
      <c r="N13" s="208"/>
      <c r="O13" s="122">
        <v>5</v>
      </c>
      <c r="P13" s="137"/>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34.5" customHeight="1" x14ac:dyDescent="0.2">
      <c r="A14" s="205"/>
      <c r="B14" s="209"/>
      <c r="C14" s="217"/>
      <c r="D14" s="217"/>
      <c r="E14" s="221"/>
      <c r="F14" s="209"/>
      <c r="G14" s="223"/>
      <c r="H14" s="212"/>
      <c r="I14" s="207"/>
      <c r="J14" s="213"/>
      <c r="K14" s="207">
        <f t="shared" ca="1" si="0"/>
        <v>0</v>
      </c>
      <c r="L14" s="212"/>
      <c r="M14" s="207"/>
      <c r="N14" s="208"/>
      <c r="O14" s="122">
        <v>6</v>
      </c>
      <c r="P14" s="144"/>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66" x14ac:dyDescent="0.2">
      <c r="A15" s="205">
        <v>2</v>
      </c>
      <c r="B15" s="209" t="s">
        <v>126</v>
      </c>
      <c r="C15" s="217" t="s">
        <v>220</v>
      </c>
      <c r="D15" s="217" t="s">
        <v>221</v>
      </c>
      <c r="E15" s="221" t="s">
        <v>222</v>
      </c>
      <c r="F15" s="209" t="s">
        <v>119</v>
      </c>
      <c r="G15" s="223">
        <v>25</v>
      </c>
      <c r="H15" s="212" t="str">
        <f>IF(G15&lt;=0,"",IF(G15&lt;=2,"Muy Baja",IF(G15&lt;=24,"Baja",IF(G15&lt;=500,"Media",IF(G15&lt;=5000,"Alta","Muy Alta")))))</f>
        <v>Media</v>
      </c>
      <c r="I15" s="207">
        <f>IF(H15="","",IF(H15="Muy Baja",0.2,IF(H15="Baja",0.4,IF(H15="Media",0.6,IF(H15="Alta",0.8,IF(H15="Muy Alta",1,))))))</f>
        <v>0.6</v>
      </c>
      <c r="J15" s="213" t="s">
        <v>145</v>
      </c>
      <c r="K15" s="207" t="str">
        <f ca="1">IF(NOT(ISERROR(MATCH(J15,'Tabla Impacto'!$B$221:$B$223,0))),'Tabla Impacto'!$F$223&amp;"Por favor no seleccionar los criterios de impacto(Afectación Económica o presupuestal y Pérdida Reputacional)",J15)</f>
        <v xml:space="preserve">     El riesgo afecta la imagen de alguna área de la organización</v>
      </c>
      <c r="L15" s="212" t="str">
        <f ca="1">IF(OR(K15='Tabla Impacto'!$C$11,K15='Tabla Impacto'!$D$11),"Leve",IF(OR(K15='Tabla Impacto'!$C$12,K15='Tabla Impacto'!$D$12),"Menor",IF(OR(K15='Tabla Impacto'!$C$13,K15='Tabla Impacto'!$D$13),"Moderado",IF(OR(K15='Tabla Impacto'!$C$14,K15='Tabla Impacto'!$D$14),"Mayor",IF(OR(K15='Tabla Impacto'!$C$15,K15='Tabla Impacto'!$D$15),"Catastrófico","")))))</f>
        <v>Leve</v>
      </c>
      <c r="M15" s="207">
        <f ca="1">IF(L15="","",IF(L15="Leve",0.2,IF(L15="Menor",0.4,IF(L15="Moderado",0.6,IF(L15="Mayor",0.8,IF(L15="Catastrófico",1,))))))</f>
        <v>0.2</v>
      </c>
      <c r="N15" s="208"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2">
        <v>1</v>
      </c>
      <c r="P15" s="142" t="s">
        <v>227</v>
      </c>
      <c r="Q15" s="124" t="s">
        <v>4</v>
      </c>
      <c r="R15" s="125" t="s">
        <v>15</v>
      </c>
      <c r="S15" s="125" t="s">
        <v>9</v>
      </c>
      <c r="T15" s="126">
        <v>0.3</v>
      </c>
      <c r="U15" s="125" t="s">
        <v>19</v>
      </c>
      <c r="V15" s="125" t="s">
        <v>22</v>
      </c>
      <c r="W15" s="125" t="s">
        <v>115</v>
      </c>
      <c r="X15" s="156">
        <f>IFERROR(IF(Q15="Probabilidad",(I15-(+I15*T15)),IF(Q15="Impacto",I15,"")),"")</f>
        <v>0.42</v>
      </c>
      <c r="Y15" s="157" t="str">
        <f>IFERROR(IF(X15="","",IF(X15&lt;=0.2,"Muy Baja",IF(X15&lt;=0.4,"Baja",IF(X15&lt;=0.6,"Media",IF(X15&lt;=0.8,"Alta","Muy Alta"))))),"")</f>
        <v>Media</v>
      </c>
      <c r="Z15" s="158">
        <f>+X15</f>
        <v>0.42</v>
      </c>
      <c r="AA15" s="157" t="str">
        <f ca="1">IFERROR(IF(AB15="","",IF(AB15&lt;=0.2,"Leve",IF(AB15&lt;=0.4,"Menor",IF(AB15&lt;=0.6,"Moderado",IF(AB15&lt;=0.8,"Mayor","Catastrófico"))))),"")</f>
        <v>Leve</v>
      </c>
      <c r="AB15" s="158">
        <f ca="1">IFERROR(IF(Q15="Impacto",(M15-(+M15*T15)),IF(Q15="Probabilidad",M15,"")),"")</f>
        <v>0.2</v>
      </c>
      <c r="AC15" s="159"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5" t="s">
        <v>31</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205"/>
      <c r="B16" s="209"/>
      <c r="C16" s="217"/>
      <c r="D16" s="217"/>
      <c r="E16" s="221"/>
      <c r="F16" s="209"/>
      <c r="G16" s="223"/>
      <c r="H16" s="212"/>
      <c r="I16" s="207"/>
      <c r="J16" s="213"/>
      <c r="K16" s="207">
        <f t="shared" ca="1" si="0"/>
        <v>0</v>
      </c>
      <c r="L16" s="212"/>
      <c r="M16" s="207"/>
      <c r="N16" s="208"/>
      <c r="O16" s="122">
        <v>2</v>
      </c>
      <c r="P16" s="141"/>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ht="16.5" x14ac:dyDescent="0.2">
      <c r="A17" s="205"/>
      <c r="B17" s="209"/>
      <c r="C17" s="217"/>
      <c r="D17" s="217"/>
      <c r="E17" s="221"/>
      <c r="F17" s="209"/>
      <c r="G17" s="223"/>
      <c r="H17" s="212"/>
      <c r="I17" s="207"/>
      <c r="J17" s="213"/>
      <c r="K17" s="207">
        <f t="shared" ca="1" si="0"/>
        <v>0</v>
      </c>
      <c r="L17" s="212"/>
      <c r="M17" s="207"/>
      <c r="N17" s="208"/>
      <c r="O17" s="122">
        <v>3</v>
      </c>
      <c r="P17" s="138"/>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205"/>
      <c r="B18" s="209"/>
      <c r="C18" s="217"/>
      <c r="D18" s="217"/>
      <c r="E18" s="221"/>
      <c r="F18" s="209"/>
      <c r="G18" s="223"/>
      <c r="H18" s="212"/>
      <c r="I18" s="207"/>
      <c r="J18" s="213"/>
      <c r="K18" s="207">
        <f t="shared" ca="1" si="0"/>
        <v>0</v>
      </c>
      <c r="L18" s="212"/>
      <c r="M18" s="207"/>
      <c r="N18" s="208"/>
      <c r="O18" s="122">
        <v>4</v>
      </c>
      <c r="P18" s="137"/>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205"/>
      <c r="B19" s="209"/>
      <c r="C19" s="217"/>
      <c r="D19" s="217"/>
      <c r="E19" s="221"/>
      <c r="F19" s="209"/>
      <c r="G19" s="223"/>
      <c r="H19" s="212"/>
      <c r="I19" s="207"/>
      <c r="J19" s="213"/>
      <c r="K19" s="207">
        <f t="shared" ca="1" si="0"/>
        <v>0</v>
      </c>
      <c r="L19" s="212"/>
      <c r="M19" s="207"/>
      <c r="N19" s="208"/>
      <c r="O19" s="122">
        <v>5</v>
      </c>
      <c r="P19" s="137"/>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228"/>
      <c r="B20" s="229"/>
      <c r="C20" s="230"/>
      <c r="D20" s="230"/>
      <c r="E20" s="231"/>
      <c r="F20" s="229"/>
      <c r="G20" s="232"/>
      <c r="H20" s="226"/>
      <c r="I20" s="225"/>
      <c r="J20" s="224"/>
      <c r="K20" s="225">
        <f t="shared" ca="1" si="0"/>
        <v>0</v>
      </c>
      <c r="L20" s="226"/>
      <c r="M20" s="225"/>
      <c r="N20" s="227"/>
      <c r="O20" s="143">
        <v>6</v>
      </c>
      <c r="P20" s="144"/>
      <c r="Q20" s="145"/>
      <c r="R20" s="146"/>
      <c r="S20" s="146"/>
      <c r="T20" s="147"/>
      <c r="U20" s="146"/>
      <c r="V20" s="146"/>
      <c r="W20" s="146"/>
      <c r="X20" s="148"/>
      <c r="Y20" s="149"/>
      <c r="Z20" s="147"/>
      <c r="AA20" s="149"/>
      <c r="AB20" s="147"/>
      <c r="AC20" s="150"/>
      <c r="AD20" s="146"/>
      <c r="AE20" s="151"/>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66" x14ac:dyDescent="0.2">
      <c r="A21" s="205">
        <v>3</v>
      </c>
      <c r="B21" s="209" t="s">
        <v>128</v>
      </c>
      <c r="C21" s="217" t="s">
        <v>223</v>
      </c>
      <c r="D21" s="217" t="s">
        <v>224</v>
      </c>
      <c r="E21" s="221" t="s">
        <v>225</v>
      </c>
      <c r="F21" s="209" t="s">
        <v>119</v>
      </c>
      <c r="G21" s="223">
        <v>365</v>
      </c>
      <c r="H21" s="212" t="str">
        <f>IF(G21&lt;=0,"",IF(G21&lt;=2,"Muy Baja",IF(G21&lt;=24,"Baja",IF(G21&lt;=500,"Media",IF(G21&lt;=5000,"Alta","Muy Alta")))))</f>
        <v>Media</v>
      </c>
      <c r="I21" s="207">
        <f>IF(H21="","",IF(H21="Muy Baja",0.2,IF(H21="Baja",0.4,IF(H21="Media",0.6,IF(H21="Alta",0.8,IF(H21="Muy Alta",1,))))))</f>
        <v>0.6</v>
      </c>
      <c r="J21" s="213" t="s">
        <v>142</v>
      </c>
      <c r="K21" s="207" t="str">
        <f ca="1">IF(NOT(ISERROR(MATCH(J21,'Tabla Impacto'!$B$221:$B$223,0))),'Tabla Impacto'!$F$223&amp;"Por favor no seleccionar los criterios de impacto(Afectación Económica o presupuestal y Pérdida Reputacional)",J21)</f>
        <v xml:space="preserve">     Entre 10 y 50 SMLMV </v>
      </c>
      <c r="L21" s="212" t="str">
        <f ca="1">IF(OR(K21='Tabla Impacto'!$C$11,K21='Tabla Impacto'!$D$11),"Leve",IF(OR(K21='Tabla Impacto'!$C$12,K21='Tabla Impacto'!$D$12),"Menor",IF(OR(K21='Tabla Impacto'!$C$13,K21='Tabla Impacto'!$D$13),"Moderado",IF(OR(K21='Tabla Impacto'!$C$14,K21='Tabla Impacto'!$D$14),"Mayor",IF(OR(K21='Tabla Impacto'!$C$15,K21='Tabla Impacto'!$D$15),"Catastrófico","")))))</f>
        <v>Menor</v>
      </c>
      <c r="M21" s="207">
        <f ca="1">IF(L21="","",IF(L21="Leve",0.2,IF(L21="Menor",0.4,IF(L21="Moderado",0.6,IF(L21="Mayor",0.8,IF(L21="Catastrófico",1,))))))</f>
        <v>0.4</v>
      </c>
      <c r="N21" s="208"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39">
        <v>1</v>
      </c>
      <c r="P21" s="142" t="s">
        <v>228</v>
      </c>
      <c r="Q21" s="124" t="s">
        <v>4</v>
      </c>
      <c r="R21" s="125" t="s">
        <v>14</v>
      </c>
      <c r="S21" s="125" t="s">
        <v>10</v>
      </c>
      <c r="T21" s="126">
        <v>0.5</v>
      </c>
      <c r="U21" s="125" t="s">
        <v>19</v>
      </c>
      <c r="V21" s="125" t="s">
        <v>23</v>
      </c>
      <c r="W21" s="125" t="s">
        <v>115</v>
      </c>
      <c r="X21" s="156">
        <f>IFERROR(IF(Q21="Probabilidad",(I21-(+I21*T21)),IF(Q21="Impacto",I21,"")),"")</f>
        <v>0.3</v>
      </c>
      <c r="Y21" s="157" t="str">
        <f>IFERROR(IF(X21="","",IF(X21&lt;=0.2,"Muy Baja",IF(X21&lt;=0.4,"Baja",IF(X21&lt;=0.6,"Media",IF(X21&lt;=0.8,"Alta","Muy Alta"))))),"")</f>
        <v>Baja</v>
      </c>
      <c r="Z21" s="158">
        <f>+X21</f>
        <v>0.3</v>
      </c>
      <c r="AA21" s="157" t="str">
        <f ca="1">IFERROR(IF(AB21="","",IF(AB21&lt;=0.2,"Leve",IF(AB21&lt;=0.4,"Menor",IF(AB21&lt;=0.6,"Moderado",IF(AB21&lt;=0.8,"Mayor","Catastrófico"))))),"")</f>
        <v>Menor</v>
      </c>
      <c r="AB21" s="158">
        <f ca="1">IFERROR(IF(Q21="Impacto",(M21-(+M21*T21)),IF(Q21="Probabilidad",M21,"")),"")</f>
        <v>0.4</v>
      </c>
      <c r="AC21" s="159"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25" t="s">
        <v>31</v>
      </c>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205"/>
      <c r="B22" s="209"/>
      <c r="C22" s="217"/>
      <c r="D22" s="217"/>
      <c r="E22" s="221"/>
      <c r="F22" s="209"/>
      <c r="G22" s="223"/>
      <c r="H22" s="212"/>
      <c r="I22" s="207"/>
      <c r="J22" s="213"/>
      <c r="K22" s="207">
        <f t="shared" ca="1" si="0"/>
        <v>0</v>
      </c>
      <c r="L22" s="212"/>
      <c r="M22" s="207"/>
      <c r="N22" s="208"/>
      <c r="O22" s="139">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205"/>
      <c r="B23" s="209"/>
      <c r="C23" s="217"/>
      <c r="D23" s="217"/>
      <c r="E23" s="221"/>
      <c r="F23" s="209"/>
      <c r="G23" s="223"/>
      <c r="H23" s="212"/>
      <c r="I23" s="207"/>
      <c r="J23" s="213"/>
      <c r="K23" s="207">
        <f t="shared" ca="1" si="0"/>
        <v>0</v>
      </c>
      <c r="L23" s="212"/>
      <c r="M23" s="207"/>
      <c r="N23" s="208"/>
      <c r="O23" s="139">
        <v>3</v>
      </c>
      <c r="P23" s="134"/>
      <c r="Q23" s="124"/>
      <c r="R23" s="125"/>
      <c r="S23" s="125"/>
      <c r="T23" s="126"/>
      <c r="U23" s="125"/>
      <c r="V23" s="125"/>
      <c r="W23" s="125"/>
      <c r="X23" s="127"/>
      <c r="Y23" s="128"/>
      <c r="Z23" s="126"/>
      <c r="AA23" s="128"/>
      <c r="AB23" s="126"/>
      <c r="AC23" s="129"/>
      <c r="AD23" s="125"/>
      <c r="AE23" s="14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205"/>
      <c r="B24" s="209"/>
      <c r="C24" s="217"/>
      <c r="D24" s="217"/>
      <c r="E24" s="221"/>
      <c r="F24" s="209"/>
      <c r="G24" s="223"/>
      <c r="H24" s="212"/>
      <c r="I24" s="207"/>
      <c r="J24" s="213"/>
      <c r="K24" s="207">
        <f t="shared" ca="1" si="0"/>
        <v>0</v>
      </c>
      <c r="L24" s="212"/>
      <c r="M24" s="207"/>
      <c r="N24" s="208"/>
      <c r="O24" s="139">
        <v>4</v>
      </c>
      <c r="P24" s="123"/>
      <c r="Q24" s="124"/>
      <c r="R24" s="125"/>
      <c r="S24" s="125"/>
      <c r="T24" s="126"/>
      <c r="U24" s="125"/>
      <c r="V24" s="125"/>
      <c r="W24" s="125"/>
      <c r="X24" s="127"/>
      <c r="Y24" s="128"/>
      <c r="Z24" s="126"/>
      <c r="AA24" s="128"/>
      <c r="AB24" s="126"/>
      <c r="AC24" s="129"/>
      <c r="AD24" s="125"/>
      <c r="AE24" s="14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205"/>
      <c r="B25" s="209"/>
      <c r="C25" s="217"/>
      <c r="D25" s="217"/>
      <c r="E25" s="221"/>
      <c r="F25" s="209"/>
      <c r="G25" s="223"/>
      <c r="H25" s="212"/>
      <c r="I25" s="207"/>
      <c r="J25" s="213"/>
      <c r="K25" s="207">
        <f t="shared" ca="1" si="0"/>
        <v>0</v>
      </c>
      <c r="L25" s="212"/>
      <c r="M25" s="207"/>
      <c r="N25" s="208"/>
      <c r="O25" s="139">
        <v>5</v>
      </c>
      <c r="P25" s="123"/>
      <c r="Q25" s="124" t="str">
        <f t="shared" ref="Q25:Q26" si="1">IF(OR(R25="Preventivo",R25="Detectivo"),"Probabilidad",IF(R25="Correctivo","Impacto",""))</f>
        <v/>
      </c>
      <c r="R25" s="125"/>
      <c r="S25" s="125"/>
      <c r="T25" s="126" t="str">
        <f t="shared" ref="T25:T26" si="2">IF(AND(R25="Preventivo",S25="Automático"),"50%",IF(AND(R25="Preventivo",S25="Manual"),"40%",IF(AND(R25="Detectivo",S25="Automático"),"40%",IF(AND(R25="Detectivo",S25="Manual"),"30%",IF(AND(R25="Correctivo",S25="Automático"),"35%",IF(AND(R25="Correctivo",S25="Manual"),"25%",""))))))</f>
        <v/>
      </c>
      <c r="U25" s="125"/>
      <c r="V25" s="125"/>
      <c r="W25" s="125"/>
      <c r="X25" s="127" t="str">
        <f t="shared" ref="X25:X26" si="3">IFERROR(IF(AND(Q24="Probabilidad",Q25="Probabilidad"),(Z24-(+Z24*T25)),IF(AND(Q24="Impacto",Q25="Probabilidad"),(Z23-(+Z23*T25)),IF(Q25="Impacto",Z24,""))),"")</f>
        <v/>
      </c>
      <c r="Y25" s="128" t="str">
        <f t="shared" ref="Y25:Y56" si="4">IFERROR(IF(X25="","",IF(X25&lt;=0.2,"Muy Baja",IF(X25&lt;=0.4,"Baja",IF(X25&lt;=0.6,"Media",IF(X25&lt;=0.8,"Alta","Muy Alta"))))),"")</f>
        <v/>
      </c>
      <c r="Z25" s="126" t="str">
        <f t="shared" ref="Z25:Z26" si="5">+X25</f>
        <v/>
      </c>
      <c r="AA25" s="128" t="str">
        <f t="shared" ref="AA25:AA56" si="6">IFERROR(IF(AB25="","",IF(AB25&lt;=0.2,"Leve",IF(AB25&lt;=0.4,"Menor",IF(AB25&lt;=0.6,"Moderado",IF(AB25&lt;=0.8,"Mayor","Catastrófico"))))),"")</f>
        <v/>
      </c>
      <c r="AB25" s="126" t="str">
        <f t="shared" ref="AB25:AB26" si="7">IFERROR(IF(AND(Q24="Impacto",Q25="Impacto"),(AB24-(+AB24*T25)),IF(AND(Q24="Probabilidad",Q25="Impacto"),(AB23-(+AB23*T25)),IF(Q25="Probabilidad",AB24,""))),"")</f>
        <v/>
      </c>
      <c r="AC25" s="129" t="str">
        <f t="shared" ref="AC25:AC26" si="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4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205"/>
      <c r="B26" s="209"/>
      <c r="C26" s="217"/>
      <c r="D26" s="217"/>
      <c r="E26" s="221"/>
      <c r="F26" s="209"/>
      <c r="G26" s="223"/>
      <c r="H26" s="212"/>
      <c r="I26" s="207"/>
      <c r="J26" s="213"/>
      <c r="K26" s="207">
        <f t="shared" ca="1" si="0"/>
        <v>0</v>
      </c>
      <c r="L26" s="212"/>
      <c r="M26" s="207"/>
      <c r="N26" s="208"/>
      <c r="O26" s="139">
        <v>6</v>
      </c>
      <c r="P26" s="123"/>
      <c r="Q26" s="124" t="str">
        <f t="shared" si="1"/>
        <v/>
      </c>
      <c r="R26" s="125"/>
      <c r="S26" s="125"/>
      <c r="T26" s="126" t="str">
        <f t="shared" si="2"/>
        <v/>
      </c>
      <c r="U26" s="125"/>
      <c r="V26" s="125"/>
      <c r="W26" s="125"/>
      <c r="X26" s="127" t="str">
        <f t="shared" si="3"/>
        <v/>
      </c>
      <c r="Y26" s="128" t="str">
        <f t="shared" si="4"/>
        <v/>
      </c>
      <c r="Z26" s="126" t="str">
        <f t="shared" si="5"/>
        <v/>
      </c>
      <c r="AA26" s="128" t="str">
        <f t="shared" si="6"/>
        <v/>
      </c>
      <c r="AB26" s="126" t="str">
        <f t="shared" si="7"/>
        <v/>
      </c>
      <c r="AC26" s="129" t="str">
        <f t="shared" si="8"/>
        <v/>
      </c>
      <c r="AD26" s="125"/>
      <c r="AE26" s="14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ht="66" x14ac:dyDescent="0.2">
      <c r="A27" s="218">
        <v>4</v>
      </c>
      <c r="B27" s="219" t="s">
        <v>126</v>
      </c>
      <c r="C27" s="220" t="s">
        <v>229</v>
      </c>
      <c r="D27" s="217" t="s">
        <v>230</v>
      </c>
      <c r="E27" s="221" t="s">
        <v>231</v>
      </c>
      <c r="F27" s="209" t="s">
        <v>119</v>
      </c>
      <c r="G27" s="211">
        <v>394</v>
      </c>
      <c r="H27" s="214" t="str">
        <f>IF(G27&lt;=0,"",IF(G27&lt;=2,"Muy Baja",IF(G27&lt;=24,"Baja",IF(G27&lt;=500,"Media",IF(G27&lt;=5000,"Alta","Muy Alta")))))</f>
        <v>Media</v>
      </c>
      <c r="I27" s="215">
        <f>IF(H27="","",IF(H27="Muy Baja",0.2,IF(H27="Baja",0.4,IF(H27="Media",0.6,IF(H27="Alta",0.8,IF(H27="Muy Alta",1,))))))</f>
        <v>0.6</v>
      </c>
      <c r="J27" s="222" t="s">
        <v>148</v>
      </c>
      <c r="K27" s="215" t="str">
        <f ca="1">IF(NOT(ISERROR(MATCH(J27,'Tabla Impacto'!$B$221:$B$223,0))),'Tabla Impacto'!$F$223&amp;"Por favor no seleccionar los criterios de impacto(Afectación Económica o presupuestal y Pérdida Reputacional)",J27)</f>
        <v xml:space="preserve">     El riesgo afecta la imagen de de la entidad con efecto publicitario sostenido a nivel de sector administrativo, nivel departamental o municipal</v>
      </c>
      <c r="L27" s="214" t="str">
        <f ca="1">IF(OR(K27='Tabla Impacto'!$C$11,K27='Tabla Impacto'!$D$11),"Leve",IF(OR(K27='Tabla Impacto'!$C$12,K27='Tabla Impacto'!$D$12),"Menor",IF(OR(K27='Tabla Impacto'!$C$13,K27='Tabla Impacto'!$D$13),"Moderado",IF(OR(K27='Tabla Impacto'!$C$14,K27='Tabla Impacto'!$D$14),"Mayor",IF(OR(K27='Tabla Impacto'!$C$15,K27='Tabla Impacto'!$D$15),"Catastrófico","")))))</f>
        <v>Mayor</v>
      </c>
      <c r="M27" s="215">
        <f ca="1">IF(L27="","",IF(L27="Leve",0.2,IF(L27="Menor",0.4,IF(L27="Moderado",0.6,IF(L27="Mayor",0.8,IF(L27="Catastrófico",1,))))))</f>
        <v>0.8</v>
      </c>
      <c r="N27" s="216"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152">
        <v>1</v>
      </c>
      <c r="P27" s="153" t="s">
        <v>232</v>
      </c>
      <c r="Q27" s="124" t="s">
        <v>4</v>
      </c>
      <c r="R27" s="125" t="s">
        <v>14</v>
      </c>
      <c r="S27" s="125" t="s">
        <v>9</v>
      </c>
      <c r="T27" s="126" t="str">
        <f>IF(AND(R27="Preventivo",S27="Automático"),"50%",IF(AND(R27="Preventivo",S27="Manual"),"40%",IF(AND(R27="Detectivo",S27="Automático"),"40%",IF(AND(R27="Detectivo",S27="Manual"),"30%",IF(AND(R27="Correctivo",S27="Automático"),"35%",IF(AND(R27="Correctivo",S27="Manual"),"25%",""))))))</f>
        <v>40%</v>
      </c>
      <c r="U27" s="125" t="s">
        <v>19</v>
      </c>
      <c r="V27" s="125" t="s">
        <v>22</v>
      </c>
      <c r="W27" s="125" t="s">
        <v>115</v>
      </c>
      <c r="X27" s="156">
        <f>IFERROR(IF(Q27="Probabilidad",(I27-(+I27*T27)),IF(Q27="Impacto",I27,"")),"")</f>
        <v>0.36</v>
      </c>
      <c r="Y27" s="157" t="str">
        <f>IFERROR(IF(X27="","",IF(X27&lt;=0.2,"Muy Baja",IF(X27&lt;=0.4,"Baja",IF(X27&lt;=0.6,"Media",IF(X27&lt;=0.8,"Alta","Muy Alta"))))),"")</f>
        <v>Baja</v>
      </c>
      <c r="Z27" s="158">
        <f>+X27</f>
        <v>0.36</v>
      </c>
      <c r="AA27" s="157" t="str">
        <f ca="1">IFERROR(IF(AB27="","",IF(AB27&lt;=0.2,"Leve",IF(AB27&lt;=0.4,"Menor",IF(AB27&lt;=0.6,"Moderado",IF(AB27&lt;=0.8,"Mayor","Catastrófico"))))),"")</f>
        <v>Mayor</v>
      </c>
      <c r="AB27" s="158">
        <f ca="1">IFERROR(IF(Q27="Impacto",(M27-(+M27*T27)),IF(Q27="Probabilidad",M27,"")),"")</f>
        <v>0.8</v>
      </c>
      <c r="AC27" s="159" t="str">
        <f ca="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154" t="s">
        <v>31</v>
      </c>
      <c r="AE27" s="155"/>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ht="66" x14ac:dyDescent="0.2">
      <c r="A28" s="205"/>
      <c r="B28" s="209"/>
      <c r="C28" s="220"/>
      <c r="D28" s="217"/>
      <c r="E28" s="221"/>
      <c r="F28" s="209"/>
      <c r="G28" s="211"/>
      <c r="H28" s="212"/>
      <c r="I28" s="207"/>
      <c r="J28" s="213"/>
      <c r="K28" s="207">
        <f t="shared" ref="K28:K32" ca="1" si="9">IF(NOT(ISERROR(MATCH(J28,_xlfn.ANCHORARRAY(E39),0))),I41&amp;"Por favor no seleccionar los criterios de impacto",J28)</f>
        <v>0</v>
      </c>
      <c r="L28" s="212"/>
      <c r="M28" s="207"/>
      <c r="N28" s="208"/>
      <c r="O28" s="122">
        <v>2</v>
      </c>
      <c r="P28" s="123" t="s">
        <v>233</v>
      </c>
      <c r="Q28" s="124" t="s">
        <v>4</v>
      </c>
      <c r="R28" s="125" t="s">
        <v>15</v>
      </c>
      <c r="S28" s="125" t="s">
        <v>9</v>
      </c>
      <c r="T28" s="126" t="str">
        <f t="shared" ref="T28:T32" si="10">IF(AND(R28="Preventivo",S28="Automático"),"50%",IF(AND(R28="Preventivo",S28="Manual"),"40%",IF(AND(R28="Detectivo",S28="Automático"),"40%",IF(AND(R28="Detectivo",S28="Manual"),"30%",IF(AND(R28="Correctivo",S28="Automático"),"35%",IF(AND(R28="Correctivo",S28="Manual"),"25%",""))))))</f>
        <v>30%</v>
      </c>
      <c r="U28" s="125" t="s">
        <v>19</v>
      </c>
      <c r="V28" s="125" t="s">
        <v>22</v>
      </c>
      <c r="W28" s="125" t="s">
        <v>115</v>
      </c>
      <c r="X28" s="156">
        <f>IFERROR(IF(AND(Q27="Probabilidad",Q28="Probabilidad"),(Z27-(+Z27*T28)),IF(Q28="Probabilidad",(I27-(+I27*T28)),IF(Q28="Impacto",Z27,""))),"")</f>
        <v>0.252</v>
      </c>
      <c r="Y28" s="157" t="str">
        <f t="shared" ref="Y28" si="11">IFERROR(IF(X28="","",IF(X28&lt;=0.2,"Muy Baja",IF(X28&lt;=0.4,"Baja",IF(X28&lt;=0.6,"Media",IF(X28&lt;=0.8,"Alta","Muy Alta"))))),"")</f>
        <v>Baja</v>
      </c>
      <c r="Z28" s="158">
        <f t="shared" ref="Z28" si="12">+X28</f>
        <v>0.252</v>
      </c>
      <c r="AA28" s="157" t="str">
        <f>IFERROR(IF(AB28="","",IF(AB28&lt;=0.2,"Leve",IF(AB28&lt;=0.4,"Menor",IF(AB28&lt;=0.6,"Moderado",IF(AB28&lt;=0.8,"Mayor","Catastrófico"))))),"")</f>
        <v>Leve</v>
      </c>
      <c r="AB28" s="158">
        <f>IFERROR(IF(Q28="Impacto",(M28-(+M28*T28)),IF(Q28="Probabilidad",M28,"")),"")</f>
        <v>0</v>
      </c>
      <c r="AC28" s="159"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125" t="s">
        <v>31</v>
      </c>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205"/>
      <c r="B29" s="209"/>
      <c r="C29" s="220"/>
      <c r="D29" s="217"/>
      <c r="E29" s="221"/>
      <c r="F29" s="209"/>
      <c r="G29" s="211"/>
      <c r="H29" s="212"/>
      <c r="I29" s="207"/>
      <c r="J29" s="213"/>
      <c r="K29" s="207">
        <f t="shared" ca="1" si="9"/>
        <v>0</v>
      </c>
      <c r="L29" s="212"/>
      <c r="M29" s="207"/>
      <c r="N29" s="208"/>
      <c r="O29" s="122">
        <v>3</v>
      </c>
      <c r="P29" s="134"/>
      <c r="Q29" s="124" t="str">
        <f>IF(OR(R29="Preventivo",R29="Detectivo"),"Probabilidad",IF(R29="Correctivo","Impacto",""))</f>
        <v/>
      </c>
      <c r="R29" s="125"/>
      <c r="S29" s="125"/>
      <c r="T29" s="126" t="str">
        <f t="shared" si="10"/>
        <v/>
      </c>
      <c r="U29" s="125"/>
      <c r="V29" s="125"/>
      <c r="W29" s="125"/>
      <c r="X29" s="127"/>
      <c r="Y29" s="128" t="str">
        <f t="shared" si="4"/>
        <v/>
      </c>
      <c r="Z29" s="126"/>
      <c r="AA29" s="128" t="str">
        <f t="shared" si="6"/>
        <v/>
      </c>
      <c r="AB29" s="126" t="str">
        <f>IFERROR(IF(AND(Q28="Impacto",Q29="Impacto"),(AB28-(+AB28*T29)),IF(AND(Q28="Probabilidad",Q29="Impacto"),(AB27-(+AB27*T29)),IF(Q29="Probabilidad",AB28,""))),"")</f>
        <v/>
      </c>
      <c r="AC29" s="129" t="str">
        <f t="shared" ref="AC29" si="13">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205"/>
      <c r="B30" s="209"/>
      <c r="C30" s="220"/>
      <c r="D30" s="217"/>
      <c r="E30" s="221"/>
      <c r="F30" s="209"/>
      <c r="G30" s="211"/>
      <c r="H30" s="212"/>
      <c r="I30" s="207"/>
      <c r="J30" s="213"/>
      <c r="K30" s="207">
        <f t="shared" ca="1" si="9"/>
        <v>0</v>
      </c>
      <c r="L30" s="212"/>
      <c r="M30" s="207"/>
      <c r="N30" s="208"/>
      <c r="O30" s="122">
        <v>4</v>
      </c>
      <c r="P30" s="123"/>
      <c r="Q30" s="124" t="str">
        <f t="shared" ref="Q30:Q32" si="14">IF(OR(R30="Preventivo",R30="Detectivo"),"Probabilidad",IF(R30="Correctivo","Impacto",""))</f>
        <v/>
      </c>
      <c r="R30" s="125"/>
      <c r="S30" s="125"/>
      <c r="T30" s="126" t="str">
        <f t="shared" si="10"/>
        <v/>
      </c>
      <c r="U30" s="125"/>
      <c r="V30" s="125"/>
      <c r="W30" s="125"/>
      <c r="X30" s="127"/>
      <c r="Y30" s="128" t="str">
        <f t="shared" si="4"/>
        <v/>
      </c>
      <c r="Z30" s="126"/>
      <c r="AA30" s="128" t="str">
        <f t="shared" si="6"/>
        <v/>
      </c>
      <c r="AB30" s="126" t="str">
        <f t="shared" ref="AB30:AB32" si="15">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205"/>
      <c r="B31" s="209"/>
      <c r="C31" s="220"/>
      <c r="D31" s="217"/>
      <c r="E31" s="221"/>
      <c r="F31" s="209"/>
      <c r="G31" s="211"/>
      <c r="H31" s="212"/>
      <c r="I31" s="207"/>
      <c r="J31" s="213"/>
      <c r="K31" s="207">
        <f t="shared" ca="1" si="9"/>
        <v>0</v>
      </c>
      <c r="L31" s="212"/>
      <c r="M31" s="207"/>
      <c r="N31" s="208"/>
      <c r="O31" s="122">
        <v>5</v>
      </c>
      <c r="P31" s="123"/>
      <c r="Q31" s="124" t="str">
        <f t="shared" si="14"/>
        <v/>
      </c>
      <c r="R31" s="125"/>
      <c r="S31" s="125"/>
      <c r="T31" s="126" t="str">
        <f t="shared" si="10"/>
        <v/>
      </c>
      <c r="U31" s="125"/>
      <c r="V31" s="125"/>
      <c r="W31" s="125"/>
      <c r="X31" s="127"/>
      <c r="Y31" s="128" t="str">
        <f t="shared" si="4"/>
        <v/>
      </c>
      <c r="Z31" s="126"/>
      <c r="AA31" s="128" t="str">
        <f t="shared" si="6"/>
        <v/>
      </c>
      <c r="AB31" s="126" t="str">
        <f t="shared" si="15"/>
        <v/>
      </c>
      <c r="AC31" s="129" t="str">
        <f t="shared" ref="AC31" si="1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205"/>
      <c r="B32" s="209"/>
      <c r="C32" s="220"/>
      <c r="D32" s="217"/>
      <c r="E32" s="221"/>
      <c r="F32" s="209"/>
      <c r="G32" s="211"/>
      <c r="H32" s="212"/>
      <c r="I32" s="207"/>
      <c r="J32" s="213"/>
      <c r="K32" s="207">
        <f t="shared" ca="1" si="9"/>
        <v>0</v>
      </c>
      <c r="L32" s="212"/>
      <c r="M32" s="207"/>
      <c r="N32" s="208"/>
      <c r="O32" s="122">
        <v>6</v>
      </c>
      <c r="P32" s="123"/>
      <c r="Q32" s="124" t="str">
        <f t="shared" si="14"/>
        <v/>
      </c>
      <c r="R32" s="125"/>
      <c r="S32" s="125"/>
      <c r="T32" s="126" t="str">
        <f t="shared" si="10"/>
        <v/>
      </c>
      <c r="U32" s="125"/>
      <c r="V32" s="125"/>
      <c r="W32" s="125"/>
      <c r="X32" s="127"/>
      <c r="Y32" s="128" t="str">
        <f t="shared" si="4"/>
        <v/>
      </c>
      <c r="Z32" s="126"/>
      <c r="AA32" s="128" t="str">
        <f>IFERROR(IF(AB32="","",IF(AB32&lt;=0.2,"Leve",IF(AB32&lt;=0.4,"Menor",IF(AB32&lt;=0.6,"Moderado",IF(AB32&lt;=0.8,"Mayor","Catastrófico"))))),"")</f>
        <v/>
      </c>
      <c r="AB32" s="126" t="str">
        <f t="shared" si="15"/>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hidden="1" x14ac:dyDescent="0.2">
      <c r="A33" s="205">
        <v>5</v>
      </c>
      <c r="B33" s="209"/>
      <c r="C33" s="209"/>
      <c r="D33" s="209"/>
      <c r="E33" s="210"/>
      <c r="F33" s="209"/>
      <c r="G33" s="211"/>
      <c r="H33" s="212" t="str">
        <f>IF(G33&lt;=0,"",IF(G33&lt;=2,"Muy Baja",IF(G33&lt;=24,"Baja",IF(G33&lt;=500,"Media",IF(G33&lt;=5000,"Alta","Muy Alta")))))</f>
        <v/>
      </c>
      <c r="I33" s="207" t="str">
        <f>IF(H33="","",IF(H33="Muy Baja",0.2,IF(H33="Baja",0.4,IF(H33="Media",0.6,IF(H33="Alta",0.8,IF(H33="Muy Alta",1,))))))</f>
        <v/>
      </c>
      <c r="J33" s="213"/>
      <c r="K33" s="207">
        <f ca="1">IF(NOT(ISERROR(MATCH(J33,'Tabla Impacto'!$B$221:$B$223,0))),'Tabla Impacto'!$F$223&amp;"Por favor no seleccionar los criterios de impacto(Afectación Económica o presupuestal y Pérdida Reputacional)",J33)</f>
        <v>0</v>
      </c>
      <c r="L33" s="212" t="str">
        <f ca="1">IF(OR(K33='Tabla Impacto'!$C$11,K33='Tabla Impacto'!$D$11),"Leve",IF(OR(K33='Tabla Impacto'!$C$12,K33='Tabla Impacto'!$D$12),"Menor",IF(OR(K33='Tabla Impacto'!$C$13,K33='Tabla Impacto'!$D$13),"Moderado",IF(OR(K33='Tabla Impacto'!$C$14,K33='Tabla Impacto'!$D$14),"Mayor",IF(OR(K33='Tabla Impacto'!$C$15,K33='Tabla Impacto'!$D$15),"Catastrófico","")))))</f>
        <v/>
      </c>
      <c r="M33" s="207" t="str">
        <f ca="1">IF(L33="","",IF(L33="Leve",0.2,IF(L33="Menor",0.4,IF(L33="Moderado",0.6,IF(L33="Mayor",0.8,IF(L33="Catastrófico",1,))))))</f>
        <v/>
      </c>
      <c r="N33" s="208"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hidden="1" x14ac:dyDescent="0.2">
      <c r="A34" s="205"/>
      <c r="B34" s="209"/>
      <c r="C34" s="209"/>
      <c r="D34" s="209"/>
      <c r="E34" s="210"/>
      <c r="F34" s="209"/>
      <c r="G34" s="211"/>
      <c r="H34" s="212"/>
      <c r="I34" s="207"/>
      <c r="J34" s="213"/>
      <c r="K34" s="207">
        <f t="shared" ref="K34:K38" ca="1" si="17">IF(NOT(ISERROR(MATCH(J34,_xlfn.ANCHORARRAY(E45),0))),I47&amp;"Por favor no seleccionar los criterios de impacto",J34)</f>
        <v>0</v>
      </c>
      <c r="L34" s="212"/>
      <c r="M34" s="207"/>
      <c r="N34" s="208"/>
      <c r="O34" s="122">
        <v>2</v>
      </c>
      <c r="P34" s="123"/>
      <c r="Q34" s="124" t="str">
        <f>IF(OR(R34="Preventivo",R34="Detectivo"),"Probabilidad",IF(R34="Correctivo","Impacto",""))</f>
        <v/>
      </c>
      <c r="R34" s="125"/>
      <c r="S34" s="125"/>
      <c r="T34" s="126" t="str">
        <f t="shared" ref="T34:T38" si="18">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4"/>
        <v/>
      </c>
      <c r="Z34" s="126" t="str">
        <f t="shared" ref="Z34:Z38" si="19">+X34</f>
        <v/>
      </c>
      <c r="AA34" s="128" t="str">
        <f t="shared" si="6"/>
        <v/>
      </c>
      <c r="AB34" s="126" t="str">
        <f>IFERROR(IF(AND(Q33="Impacto",Q34="Impacto"),(AB27-(+AB27*T34)),IF(Q34="Impacto",($M$33-(+$M$33*T34)),IF(Q34="Probabilidad",AB27,""))),"")</f>
        <v/>
      </c>
      <c r="AC34" s="129" t="str">
        <f t="shared" ref="AC34:AC35" si="20">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hidden="1" x14ac:dyDescent="0.2">
      <c r="A35" s="205"/>
      <c r="B35" s="209"/>
      <c r="C35" s="209"/>
      <c r="D35" s="209"/>
      <c r="E35" s="210"/>
      <c r="F35" s="209"/>
      <c r="G35" s="211"/>
      <c r="H35" s="212"/>
      <c r="I35" s="207"/>
      <c r="J35" s="213"/>
      <c r="K35" s="207">
        <f t="shared" ca="1" si="17"/>
        <v>0</v>
      </c>
      <c r="L35" s="212"/>
      <c r="M35" s="207"/>
      <c r="N35" s="208"/>
      <c r="O35" s="122">
        <v>3</v>
      </c>
      <c r="P35" s="134"/>
      <c r="Q35" s="124" t="str">
        <f>IF(OR(R35="Preventivo",R35="Detectivo"),"Probabilidad",IF(R35="Correctivo","Impacto",""))</f>
        <v/>
      </c>
      <c r="R35" s="125"/>
      <c r="S35" s="125"/>
      <c r="T35" s="126" t="str">
        <f t="shared" si="18"/>
        <v/>
      </c>
      <c r="U35" s="125"/>
      <c r="V35" s="125"/>
      <c r="W35" s="125"/>
      <c r="X35" s="127" t="str">
        <f>IFERROR(IF(AND(Q34="Probabilidad",Q35="Probabilidad"),(Z34-(+Z34*T35)),IF(AND(Q34="Impacto",Q35="Probabilidad"),(Z33-(+Z33*T35)),IF(Q35="Impacto",Z34,""))),"")</f>
        <v/>
      </c>
      <c r="Y35" s="128" t="str">
        <f t="shared" si="4"/>
        <v/>
      </c>
      <c r="Z35" s="126" t="str">
        <f t="shared" si="19"/>
        <v/>
      </c>
      <c r="AA35" s="128" t="str">
        <f t="shared" si="6"/>
        <v/>
      </c>
      <c r="AB35" s="126" t="str">
        <f>IFERROR(IF(AND(Q34="Impacto",Q35="Impacto"),(AB34-(+AB34*T35)),IF(AND(Q34="Probabilidad",Q35="Impacto"),(AB33-(+AB33*T35)),IF(Q35="Probabilidad",AB34,""))),"")</f>
        <v/>
      </c>
      <c r="AC35" s="129" t="str">
        <f t="shared" si="20"/>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hidden="1" x14ac:dyDescent="0.2">
      <c r="A36" s="205"/>
      <c r="B36" s="209"/>
      <c r="C36" s="209"/>
      <c r="D36" s="209"/>
      <c r="E36" s="210"/>
      <c r="F36" s="209"/>
      <c r="G36" s="211"/>
      <c r="H36" s="212"/>
      <c r="I36" s="207"/>
      <c r="J36" s="213"/>
      <c r="K36" s="207">
        <f t="shared" ca="1" si="17"/>
        <v>0</v>
      </c>
      <c r="L36" s="212"/>
      <c r="M36" s="207"/>
      <c r="N36" s="208"/>
      <c r="O36" s="122">
        <v>4</v>
      </c>
      <c r="P36" s="123"/>
      <c r="Q36" s="124" t="str">
        <f t="shared" ref="Q36:Q38" si="21">IF(OR(R36="Preventivo",R36="Detectivo"),"Probabilidad",IF(R36="Correctivo","Impacto",""))</f>
        <v/>
      </c>
      <c r="R36" s="125"/>
      <c r="S36" s="125"/>
      <c r="T36" s="126" t="str">
        <f t="shared" si="18"/>
        <v/>
      </c>
      <c r="U36" s="125"/>
      <c r="V36" s="125"/>
      <c r="W36" s="125"/>
      <c r="X36" s="127" t="str">
        <f t="shared" ref="X36:X38" si="22">IFERROR(IF(AND(Q35="Probabilidad",Q36="Probabilidad"),(Z35-(+Z35*T36)),IF(AND(Q35="Impacto",Q36="Probabilidad"),(Z34-(+Z34*T36)),IF(Q36="Impacto",Z35,""))),"")</f>
        <v/>
      </c>
      <c r="Y36" s="128" t="str">
        <f t="shared" si="4"/>
        <v/>
      </c>
      <c r="Z36" s="126" t="str">
        <f t="shared" si="19"/>
        <v/>
      </c>
      <c r="AA36" s="128" t="str">
        <f t="shared" si="6"/>
        <v/>
      </c>
      <c r="AB36" s="126" t="str">
        <f t="shared" ref="AB36:AB38" si="23">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hidden="1" x14ac:dyDescent="0.2">
      <c r="A37" s="205"/>
      <c r="B37" s="209"/>
      <c r="C37" s="209"/>
      <c r="D37" s="209"/>
      <c r="E37" s="210"/>
      <c r="F37" s="209"/>
      <c r="G37" s="211"/>
      <c r="H37" s="212"/>
      <c r="I37" s="207"/>
      <c r="J37" s="213"/>
      <c r="K37" s="207">
        <f t="shared" ca="1" si="17"/>
        <v>0</v>
      </c>
      <c r="L37" s="212"/>
      <c r="M37" s="207"/>
      <c r="N37" s="208"/>
      <c r="O37" s="122">
        <v>5</v>
      </c>
      <c r="P37" s="123"/>
      <c r="Q37" s="124" t="str">
        <f t="shared" si="21"/>
        <v/>
      </c>
      <c r="R37" s="125"/>
      <c r="S37" s="125"/>
      <c r="T37" s="126" t="str">
        <f t="shared" si="18"/>
        <v/>
      </c>
      <c r="U37" s="125"/>
      <c r="V37" s="125"/>
      <c r="W37" s="125"/>
      <c r="X37" s="127" t="str">
        <f t="shared" si="22"/>
        <v/>
      </c>
      <c r="Y37" s="128" t="str">
        <f t="shared" si="4"/>
        <v/>
      </c>
      <c r="Z37" s="126" t="str">
        <f t="shared" si="19"/>
        <v/>
      </c>
      <c r="AA37" s="128" t="str">
        <f t="shared" si="6"/>
        <v/>
      </c>
      <c r="AB37" s="126" t="str">
        <f t="shared" si="23"/>
        <v/>
      </c>
      <c r="AC37" s="129"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hidden="1" x14ac:dyDescent="0.2">
      <c r="A38" s="205"/>
      <c r="B38" s="209"/>
      <c r="C38" s="209"/>
      <c r="D38" s="209"/>
      <c r="E38" s="210"/>
      <c r="F38" s="209"/>
      <c r="G38" s="211"/>
      <c r="H38" s="212"/>
      <c r="I38" s="207"/>
      <c r="J38" s="213"/>
      <c r="K38" s="207">
        <f t="shared" ca="1" si="17"/>
        <v>0</v>
      </c>
      <c r="L38" s="212"/>
      <c r="M38" s="207"/>
      <c r="N38" s="208"/>
      <c r="O38" s="122">
        <v>6</v>
      </c>
      <c r="P38" s="123"/>
      <c r="Q38" s="124" t="str">
        <f t="shared" si="21"/>
        <v/>
      </c>
      <c r="R38" s="125"/>
      <c r="S38" s="125"/>
      <c r="T38" s="126" t="str">
        <f t="shared" si="18"/>
        <v/>
      </c>
      <c r="U38" s="125"/>
      <c r="V38" s="125"/>
      <c r="W38" s="125"/>
      <c r="X38" s="127" t="str">
        <f t="shared" si="22"/>
        <v/>
      </c>
      <c r="Y38" s="128" t="str">
        <f t="shared" si="4"/>
        <v/>
      </c>
      <c r="Z38" s="126" t="str">
        <f t="shared" si="19"/>
        <v/>
      </c>
      <c r="AA38" s="128" t="str">
        <f t="shared" si="6"/>
        <v/>
      </c>
      <c r="AB38" s="126" t="str">
        <f t="shared" si="23"/>
        <v/>
      </c>
      <c r="AC38" s="129" t="str">
        <f t="shared" si="24"/>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hidden="1" x14ac:dyDescent="0.2">
      <c r="A39" s="205">
        <v>6</v>
      </c>
      <c r="B39" s="209"/>
      <c r="C39" s="209"/>
      <c r="D39" s="209"/>
      <c r="E39" s="210"/>
      <c r="F39" s="209"/>
      <c r="G39" s="211"/>
      <c r="H39" s="212" t="str">
        <f>IF(G39&lt;=0,"",IF(G39&lt;=2,"Muy Baja",IF(G39&lt;=24,"Baja",IF(G39&lt;=500,"Media",IF(G39&lt;=5000,"Alta","Muy Alta")))))</f>
        <v/>
      </c>
      <c r="I39" s="207" t="str">
        <f>IF(H39="","",IF(H39="Muy Baja",0.2,IF(H39="Baja",0.4,IF(H39="Media",0.6,IF(H39="Alta",0.8,IF(H39="Muy Alta",1,))))))</f>
        <v/>
      </c>
      <c r="J39" s="213"/>
      <c r="K39" s="207">
        <f ca="1">IF(NOT(ISERROR(MATCH(J39,'Tabla Impacto'!$B$221:$B$223,0))),'Tabla Impacto'!$F$223&amp;"Por favor no seleccionar los criterios de impacto(Afectación Económica o presupuestal y Pérdida Reputacional)",J39)</f>
        <v>0</v>
      </c>
      <c r="L39" s="212" t="str">
        <f ca="1">IF(OR(K39='Tabla Impacto'!$C$11,K39='Tabla Impacto'!$D$11),"Leve",IF(OR(K39='Tabla Impacto'!$C$12,K39='Tabla Impacto'!$D$12),"Menor",IF(OR(K39='Tabla Impacto'!$C$13,K39='Tabla Impacto'!$D$13),"Moderado",IF(OR(K39='Tabla Impacto'!$C$14,K39='Tabla Impacto'!$D$14),"Mayor",IF(OR(K39='Tabla Impacto'!$C$15,K39='Tabla Impacto'!$D$15),"Catastrófico","")))))</f>
        <v/>
      </c>
      <c r="M39" s="207" t="str">
        <f ca="1">IF(L39="","",IF(L39="Leve",0.2,IF(L39="Menor",0.4,IF(L39="Moderado",0.6,IF(L39="Mayor",0.8,IF(L39="Catastrófico",1,))))))</f>
        <v/>
      </c>
      <c r="N39" s="20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hidden="1" x14ac:dyDescent="0.2">
      <c r="A40" s="205"/>
      <c r="B40" s="209"/>
      <c r="C40" s="209"/>
      <c r="D40" s="209"/>
      <c r="E40" s="210"/>
      <c r="F40" s="209"/>
      <c r="G40" s="211"/>
      <c r="H40" s="212"/>
      <c r="I40" s="207"/>
      <c r="J40" s="213"/>
      <c r="K40" s="207">
        <f ca="1">IF(NOT(ISERROR(MATCH(J40,_xlfn.ANCHORARRAY(E51),0))),I53&amp;"Por favor no seleccionar los criterios de impacto",J40)</f>
        <v>0</v>
      </c>
      <c r="L40" s="212"/>
      <c r="M40" s="207"/>
      <c r="N40" s="208"/>
      <c r="O40" s="122">
        <v>2</v>
      </c>
      <c r="P40" s="123"/>
      <c r="Q40" s="124" t="str">
        <f>IF(OR(R40="Preventivo",R40="Detectivo"),"Probabilidad",IF(R40="Correctivo","Impacto",""))</f>
        <v/>
      </c>
      <c r="R40" s="125"/>
      <c r="S40" s="125"/>
      <c r="T40" s="126" t="str">
        <f t="shared" ref="T40:T44" si="25">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4"/>
        <v/>
      </c>
      <c r="Z40" s="126" t="str">
        <f t="shared" ref="Z40:Z44" si="26">+X40</f>
        <v/>
      </c>
      <c r="AA40" s="128" t="str">
        <f t="shared" si="6"/>
        <v/>
      </c>
      <c r="AB40" s="126" t="str">
        <f>IFERROR(IF(AND(Q39="Impacto",Q40="Impacto"),(AB33-(+AB33*T40)),IF(Q40="Impacto",($M$39-(+$M$39*T40)),IF(Q40="Probabilidad",AB33,""))),"")</f>
        <v/>
      </c>
      <c r="AC40" s="129" t="str">
        <f t="shared" ref="AC40:AC41" si="27">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hidden="1" x14ac:dyDescent="0.2">
      <c r="A41" s="205"/>
      <c r="B41" s="209"/>
      <c r="C41" s="209"/>
      <c r="D41" s="209"/>
      <c r="E41" s="210"/>
      <c r="F41" s="209"/>
      <c r="G41" s="211"/>
      <c r="H41" s="212"/>
      <c r="I41" s="207"/>
      <c r="J41" s="213"/>
      <c r="K41" s="207">
        <f ca="1">IF(NOT(ISERROR(MATCH(J41,_xlfn.ANCHORARRAY(E52),0))),I54&amp;"Por favor no seleccionar los criterios de impacto",J41)</f>
        <v>0</v>
      </c>
      <c r="L41" s="212"/>
      <c r="M41" s="207"/>
      <c r="N41" s="208"/>
      <c r="O41" s="122">
        <v>3</v>
      </c>
      <c r="P41" s="134"/>
      <c r="Q41" s="124" t="str">
        <f>IF(OR(R41="Preventivo",R41="Detectivo"),"Probabilidad",IF(R41="Correctivo","Impacto",""))</f>
        <v/>
      </c>
      <c r="R41" s="125"/>
      <c r="S41" s="125"/>
      <c r="T41" s="126" t="str">
        <f t="shared" si="25"/>
        <v/>
      </c>
      <c r="U41" s="125"/>
      <c r="V41" s="125"/>
      <c r="W41" s="125"/>
      <c r="X41" s="127" t="str">
        <f>IFERROR(IF(AND(Q40="Probabilidad",Q41="Probabilidad"),(Z40-(+Z40*T41)),IF(AND(Q40="Impacto",Q41="Probabilidad"),(Z39-(+Z39*T41)),IF(Q41="Impacto",Z40,""))),"")</f>
        <v/>
      </c>
      <c r="Y41" s="128" t="str">
        <f t="shared" si="4"/>
        <v/>
      </c>
      <c r="Z41" s="126" t="str">
        <f t="shared" si="26"/>
        <v/>
      </c>
      <c r="AA41" s="128" t="str">
        <f t="shared" si="6"/>
        <v/>
      </c>
      <c r="AB41" s="126" t="str">
        <f>IFERROR(IF(AND(Q40="Impacto",Q41="Impacto"),(AB40-(+AB40*T41)),IF(AND(Q40="Probabilidad",Q41="Impacto"),(AB39-(+AB39*T41)),IF(Q41="Probabilidad",AB40,""))),"")</f>
        <v/>
      </c>
      <c r="AC41" s="129" t="str">
        <f t="shared" si="27"/>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hidden="1" x14ac:dyDescent="0.2">
      <c r="A42" s="205"/>
      <c r="B42" s="209"/>
      <c r="C42" s="209"/>
      <c r="D42" s="209"/>
      <c r="E42" s="210"/>
      <c r="F42" s="209"/>
      <c r="G42" s="211"/>
      <c r="H42" s="212"/>
      <c r="I42" s="207"/>
      <c r="J42" s="213"/>
      <c r="K42" s="207">
        <f ca="1">IF(NOT(ISERROR(MATCH(J42,_xlfn.ANCHORARRAY(E53),0))),I55&amp;"Por favor no seleccionar los criterios de impacto",J42)</f>
        <v>0</v>
      </c>
      <c r="L42" s="212"/>
      <c r="M42" s="207"/>
      <c r="N42" s="208"/>
      <c r="O42" s="122">
        <v>4</v>
      </c>
      <c r="P42" s="123"/>
      <c r="Q42" s="124" t="str">
        <f t="shared" ref="Q42:Q44" si="28">IF(OR(R42="Preventivo",R42="Detectivo"),"Probabilidad",IF(R42="Correctivo","Impacto",""))</f>
        <v/>
      </c>
      <c r="R42" s="125"/>
      <c r="S42" s="125"/>
      <c r="T42" s="126" t="str">
        <f t="shared" si="25"/>
        <v/>
      </c>
      <c r="U42" s="125"/>
      <c r="V42" s="125"/>
      <c r="W42" s="125"/>
      <c r="X42" s="127" t="str">
        <f t="shared" ref="X42:X44" si="29">IFERROR(IF(AND(Q41="Probabilidad",Q42="Probabilidad"),(Z41-(+Z41*T42)),IF(AND(Q41="Impacto",Q42="Probabilidad"),(Z40-(+Z40*T42)),IF(Q42="Impacto",Z41,""))),"")</f>
        <v/>
      </c>
      <c r="Y42" s="128" t="str">
        <f t="shared" si="4"/>
        <v/>
      </c>
      <c r="Z42" s="126" t="str">
        <f t="shared" si="26"/>
        <v/>
      </c>
      <c r="AA42" s="128" t="str">
        <f t="shared" si="6"/>
        <v/>
      </c>
      <c r="AB42" s="126" t="str">
        <f t="shared" ref="AB42:AB44" si="30">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hidden="1" x14ac:dyDescent="0.2">
      <c r="A43" s="205"/>
      <c r="B43" s="209"/>
      <c r="C43" s="209"/>
      <c r="D43" s="209"/>
      <c r="E43" s="210"/>
      <c r="F43" s="209"/>
      <c r="G43" s="211"/>
      <c r="H43" s="212"/>
      <c r="I43" s="207"/>
      <c r="J43" s="213"/>
      <c r="K43" s="207">
        <f ca="1">IF(NOT(ISERROR(MATCH(J43,_xlfn.ANCHORARRAY(E54),0))),I56&amp;"Por favor no seleccionar los criterios de impacto",J43)</f>
        <v>0</v>
      </c>
      <c r="L43" s="212"/>
      <c r="M43" s="207"/>
      <c r="N43" s="208"/>
      <c r="O43" s="122">
        <v>5</v>
      </c>
      <c r="P43" s="123"/>
      <c r="Q43" s="124" t="str">
        <f t="shared" si="28"/>
        <v/>
      </c>
      <c r="R43" s="125"/>
      <c r="S43" s="125"/>
      <c r="T43" s="126" t="str">
        <f t="shared" si="25"/>
        <v/>
      </c>
      <c r="U43" s="125"/>
      <c r="V43" s="125"/>
      <c r="W43" s="125"/>
      <c r="X43" s="127" t="str">
        <f t="shared" si="29"/>
        <v/>
      </c>
      <c r="Y43" s="128" t="str">
        <f t="shared" si="4"/>
        <v/>
      </c>
      <c r="Z43" s="126" t="str">
        <f t="shared" si="26"/>
        <v/>
      </c>
      <c r="AA43" s="128" t="str">
        <f t="shared" si="6"/>
        <v/>
      </c>
      <c r="AB43" s="126" t="str">
        <f t="shared" si="30"/>
        <v/>
      </c>
      <c r="AC43" s="129"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hidden="1" x14ac:dyDescent="0.2">
      <c r="A44" s="205"/>
      <c r="B44" s="209"/>
      <c r="C44" s="209"/>
      <c r="D44" s="209"/>
      <c r="E44" s="210"/>
      <c r="F44" s="209"/>
      <c r="G44" s="211"/>
      <c r="H44" s="212"/>
      <c r="I44" s="207"/>
      <c r="J44" s="213"/>
      <c r="K44" s="207">
        <f ca="1">IF(NOT(ISERROR(MATCH(J44,_xlfn.ANCHORARRAY(E55),0))),I57&amp;"Por favor no seleccionar los criterios de impacto",J44)</f>
        <v>0</v>
      </c>
      <c r="L44" s="212"/>
      <c r="M44" s="207"/>
      <c r="N44" s="208"/>
      <c r="O44" s="122">
        <v>6</v>
      </c>
      <c r="P44" s="123"/>
      <c r="Q44" s="124" t="str">
        <f t="shared" si="28"/>
        <v/>
      </c>
      <c r="R44" s="125"/>
      <c r="S44" s="125"/>
      <c r="T44" s="126" t="str">
        <f t="shared" si="25"/>
        <v/>
      </c>
      <c r="U44" s="125"/>
      <c r="V44" s="125"/>
      <c r="W44" s="125"/>
      <c r="X44" s="127" t="str">
        <f t="shared" si="29"/>
        <v/>
      </c>
      <c r="Y44" s="128" t="str">
        <f t="shared" si="4"/>
        <v/>
      </c>
      <c r="Z44" s="126" t="str">
        <f t="shared" si="26"/>
        <v/>
      </c>
      <c r="AA44" s="128" t="str">
        <f t="shared" si="6"/>
        <v/>
      </c>
      <c r="AB44" s="126" t="str">
        <f t="shared" si="30"/>
        <v/>
      </c>
      <c r="AC44" s="129" t="str">
        <f t="shared" si="31"/>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hidden="1" x14ac:dyDescent="0.2">
      <c r="A45" s="205">
        <v>7</v>
      </c>
      <c r="B45" s="209"/>
      <c r="C45" s="209"/>
      <c r="D45" s="209"/>
      <c r="E45" s="210"/>
      <c r="F45" s="209"/>
      <c r="G45" s="211"/>
      <c r="H45" s="212" t="str">
        <f>IF(G45&lt;=0,"",IF(G45&lt;=2,"Muy Baja",IF(G45&lt;=24,"Baja",IF(G45&lt;=500,"Media",IF(G45&lt;=5000,"Alta","Muy Alta")))))</f>
        <v/>
      </c>
      <c r="I45" s="207" t="str">
        <f>IF(H45="","",IF(H45="Muy Baja",0.2,IF(H45="Baja",0.4,IF(H45="Media",0.6,IF(H45="Alta",0.8,IF(H45="Muy Alta",1,))))))</f>
        <v/>
      </c>
      <c r="J45" s="213"/>
      <c r="K45" s="207">
        <f ca="1">IF(NOT(ISERROR(MATCH(J45,'Tabla Impacto'!$B$221:$B$223,0))),'Tabla Impacto'!$F$223&amp;"Por favor no seleccionar los criterios de impacto(Afectación Económica o presupuestal y Pérdida Reputacional)",J45)</f>
        <v>0</v>
      </c>
      <c r="L45" s="212" t="str">
        <f ca="1">IF(OR(K45='Tabla Impacto'!$C$11,K45='Tabla Impacto'!$D$11),"Leve",IF(OR(K45='Tabla Impacto'!$C$12,K45='Tabla Impacto'!$D$12),"Menor",IF(OR(K45='Tabla Impacto'!$C$13,K45='Tabla Impacto'!$D$13),"Moderado",IF(OR(K45='Tabla Impacto'!$C$14,K45='Tabla Impacto'!$D$14),"Mayor",IF(OR(K45='Tabla Impacto'!$C$15,K45='Tabla Impacto'!$D$15),"Catastrófico","")))))</f>
        <v/>
      </c>
      <c r="M45" s="207" t="str">
        <f ca="1">IF(L45="","",IF(L45="Leve",0.2,IF(L45="Menor",0.4,IF(L45="Moderado",0.6,IF(L45="Mayor",0.8,IF(L45="Catastrófico",1,))))))</f>
        <v/>
      </c>
      <c r="N45" s="20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hidden="1" x14ac:dyDescent="0.2">
      <c r="A46" s="205"/>
      <c r="B46" s="209"/>
      <c r="C46" s="209"/>
      <c r="D46" s="209"/>
      <c r="E46" s="210"/>
      <c r="F46" s="209"/>
      <c r="G46" s="211"/>
      <c r="H46" s="212"/>
      <c r="I46" s="207"/>
      <c r="J46" s="213"/>
      <c r="K46" s="207">
        <f ca="1">IF(NOT(ISERROR(MATCH(J46,_xlfn.ANCHORARRAY(E57),0))),I59&amp;"Por favor no seleccionar los criterios de impacto",J46)</f>
        <v>0</v>
      </c>
      <c r="L46" s="212"/>
      <c r="M46" s="207"/>
      <c r="N46" s="208"/>
      <c r="O46" s="122">
        <v>2</v>
      </c>
      <c r="P46" s="123"/>
      <c r="Q46" s="124" t="str">
        <f>IF(OR(R46="Preventivo",R46="Detectivo"),"Probabilidad",IF(R46="Correctivo","Impacto",""))</f>
        <v/>
      </c>
      <c r="R46" s="125"/>
      <c r="S46" s="125"/>
      <c r="T46" s="126" t="str">
        <f t="shared" ref="T46:T50" si="32">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4"/>
        <v/>
      </c>
      <c r="Z46" s="126" t="str">
        <f t="shared" ref="Z46:Z50" si="33">+X46</f>
        <v/>
      </c>
      <c r="AA46" s="128" t="str">
        <f t="shared" si="6"/>
        <v/>
      </c>
      <c r="AB46" s="126" t="str">
        <f>IFERROR(IF(AND(Q45="Impacto",Q46="Impacto"),(AB39-(+AB39*T46)),IF(Q46="Impacto",($M$45-(+$M$45*T46)),IF(Q46="Probabilidad",AB39,""))),"")</f>
        <v/>
      </c>
      <c r="AC46" s="129" t="str">
        <f t="shared" ref="AC46:AC47"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hidden="1" x14ac:dyDescent="0.2">
      <c r="A47" s="205"/>
      <c r="B47" s="209"/>
      <c r="C47" s="209"/>
      <c r="D47" s="209"/>
      <c r="E47" s="210"/>
      <c r="F47" s="209"/>
      <c r="G47" s="211"/>
      <c r="H47" s="212"/>
      <c r="I47" s="207"/>
      <c r="J47" s="213"/>
      <c r="K47" s="207">
        <f ca="1">IF(NOT(ISERROR(MATCH(J47,_xlfn.ANCHORARRAY(E58),0))),I60&amp;"Por favor no seleccionar los criterios de impacto",J47)</f>
        <v>0</v>
      </c>
      <c r="L47" s="212"/>
      <c r="M47" s="207"/>
      <c r="N47" s="208"/>
      <c r="O47" s="122">
        <v>3</v>
      </c>
      <c r="P47" s="134"/>
      <c r="Q47" s="124" t="str">
        <f>IF(OR(R47="Preventivo",R47="Detectivo"),"Probabilidad",IF(R47="Correctivo","Impacto",""))</f>
        <v/>
      </c>
      <c r="R47" s="125"/>
      <c r="S47" s="125"/>
      <c r="T47" s="126" t="str">
        <f t="shared" si="32"/>
        <v/>
      </c>
      <c r="U47" s="125"/>
      <c r="V47" s="125"/>
      <c r="W47" s="125"/>
      <c r="X47" s="127" t="str">
        <f>IFERROR(IF(AND(Q46="Probabilidad",Q47="Probabilidad"),(Z46-(+Z46*T47)),IF(AND(Q46="Impacto",Q47="Probabilidad"),(Z45-(+Z45*T47)),IF(Q47="Impacto",Z46,""))),"")</f>
        <v/>
      </c>
      <c r="Y47" s="128" t="str">
        <f t="shared" si="4"/>
        <v/>
      </c>
      <c r="Z47" s="126" t="str">
        <f t="shared" si="33"/>
        <v/>
      </c>
      <c r="AA47" s="128" t="str">
        <f t="shared" si="6"/>
        <v/>
      </c>
      <c r="AB47" s="126" t="str">
        <f>IFERROR(IF(AND(Q46="Impacto",Q47="Impacto"),(AB46-(+AB46*T47)),IF(AND(Q46="Probabilidad",Q47="Impacto"),(AB45-(+AB45*T47)),IF(Q47="Probabilidad",AB46,""))),"")</f>
        <v/>
      </c>
      <c r="AC47" s="129" t="str">
        <f t="shared" si="34"/>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hidden="1" x14ac:dyDescent="0.2">
      <c r="A48" s="205"/>
      <c r="B48" s="209"/>
      <c r="C48" s="209"/>
      <c r="D48" s="209"/>
      <c r="E48" s="210"/>
      <c r="F48" s="209"/>
      <c r="G48" s="211"/>
      <c r="H48" s="212"/>
      <c r="I48" s="207"/>
      <c r="J48" s="213"/>
      <c r="K48" s="207">
        <f ca="1">IF(NOT(ISERROR(MATCH(J48,_xlfn.ANCHORARRAY(E59),0))),I61&amp;"Por favor no seleccionar los criterios de impacto",J48)</f>
        <v>0</v>
      </c>
      <c r="L48" s="212"/>
      <c r="M48" s="207"/>
      <c r="N48" s="208"/>
      <c r="O48" s="122">
        <v>4</v>
      </c>
      <c r="P48" s="123"/>
      <c r="Q48" s="124" t="str">
        <f t="shared" ref="Q48:Q50" si="35">IF(OR(R48="Preventivo",R48="Detectivo"),"Probabilidad",IF(R48="Correctivo","Impacto",""))</f>
        <v/>
      </c>
      <c r="R48" s="125"/>
      <c r="S48" s="125"/>
      <c r="T48" s="126" t="str">
        <f t="shared" si="32"/>
        <v/>
      </c>
      <c r="U48" s="125"/>
      <c r="V48" s="125"/>
      <c r="W48" s="125"/>
      <c r="X48" s="127" t="str">
        <f t="shared" ref="X48:X50" si="36">IFERROR(IF(AND(Q47="Probabilidad",Q48="Probabilidad"),(Z47-(+Z47*T48)),IF(AND(Q47="Impacto",Q48="Probabilidad"),(Z46-(+Z46*T48)),IF(Q48="Impacto",Z47,""))),"")</f>
        <v/>
      </c>
      <c r="Y48" s="128" t="str">
        <f t="shared" si="4"/>
        <v/>
      </c>
      <c r="Z48" s="126" t="str">
        <f t="shared" si="33"/>
        <v/>
      </c>
      <c r="AA48" s="128" t="str">
        <f t="shared" si="6"/>
        <v/>
      </c>
      <c r="AB48" s="126" t="str">
        <f t="shared" ref="AB48:AB50" si="37">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hidden="1" x14ac:dyDescent="0.2">
      <c r="A49" s="205"/>
      <c r="B49" s="209"/>
      <c r="C49" s="209"/>
      <c r="D49" s="209"/>
      <c r="E49" s="210"/>
      <c r="F49" s="209"/>
      <c r="G49" s="211"/>
      <c r="H49" s="212"/>
      <c r="I49" s="207"/>
      <c r="J49" s="213"/>
      <c r="K49" s="207">
        <f ca="1">IF(NOT(ISERROR(MATCH(J49,_xlfn.ANCHORARRAY(E60),0))),I62&amp;"Por favor no seleccionar los criterios de impacto",J49)</f>
        <v>0</v>
      </c>
      <c r="L49" s="212"/>
      <c r="M49" s="207"/>
      <c r="N49" s="208"/>
      <c r="O49" s="122">
        <v>5</v>
      </c>
      <c r="P49" s="123"/>
      <c r="Q49" s="124" t="str">
        <f t="shared" si="35"/>
        <v/>
      </c>
      <c r="R49" s="125"/>
      <c r="S49" s="125"/>
      <c r="T49" s="126" t="str">
        <f t="shared" si="32"/>
        <v/>
      </c>
      <c r="U49" s="125"/>
      <c r="V49" s="125"/>
      <c r="W49" s="125"/>
      <c r="X49" s="127" t="str">
        <f t="shared" si="36"/>
        <v/>
      </c>
      <c r="Y49" s="128" t="str">
        <f t="shared" si="4"/>
        <v/>
      </c>
      <c r="Z49" s="126" t="str">
        <f t="shared" si="33"/>
        <v/>
      </c>
      <c r="AA49" s="128" t="str">
        <f t="shared" si="6"/>
        <v/>
      </c>
      <c r="AB49" s="126" t="str">
        <f t="shared" si="37"/>
        <v/>
      </c>
      <c r="AC49" s="129"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hidden="1" x14ac:dyDescent="0.2">
      <c r="A50" s="205"/>
      <c r="B50" s="209"/>
      <c r="C50" s="209"/>
      <c r="D50" s="209"/>
      <c r="E50" s="210"/>
      <c r="F50" s="209"/>
      <c r="G50" s="211"/>
      <c r="H50" s="212"/>
      <c r="I50" s="207"/>
      <c r="J50" s="213"/>
      <c r="K50" s="207">
        <f ca="1">IF(NOT(ISERROR(MATCH(J50,_xlfn.ANCHORARRAY(E61),0))),I63&amp;"Por favor no seleccionar los criterios de impacto",J50)</f>
        <v>0</v>
      </c>
      <c r="L50" s="212"/>
      <c r="M50" s="207"/>
      <c r="N50" s="208"/>
      <c r="O50" s="122">
        <v>6</v>
      </c>
      <c r="P50" s="123"/>
      <c r="Q50" s="124" t="str">
        <f t="shared" si="35"/>
        <v/>
      </c>
      <c r="R50" s="125"/>
      <c r="S50" s="125"/>
      <c r="T50" s="126" t="str">
        <f t="shared" si="32"/>
        <v/>
      </c>
      <c r="U50" s="125"/>
      <c r="V50" s="125"/>
      <c r="W50" s="125"/>
      <c r="X50" s="127" t="str">
        <f t="shared" si="36"/>
        <v/>
      </c>
      <c r="Y50" s="128" t="str">
        <f t="shared" si="4"/>
        <v/>
      </c>
      <c r="Z50" s="126" t="str">
        <f t="shared" si="33"/>
        <v/>
      </c>
      <c r="AA50" s="128" t="str">
        <f t="shared" si="6"/>
        <v/>
      </c>
      <c r="AB50" s="126" t="str">
        <f t="shared" si="37"/>
        <v/>
      </c>
      <c r="AC50" s="129" t="str">
        <f t="shared" si="38"/>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hidden="1" x14ac:dyDescent="0.2">
      <c r="A51" s="205">
        <v>8</v>
      </c>
      <c r="B51" s="209"/>
      <c r="C51" s="209"/>
      <c r="D51" s="209"/>
      <c r="E51" s="210"/>
      <c r="F51" s="209"/>
      <c r="G51" s="211"/>
      <c r="H51" s="212" t="str">
        <f>IF(G51&lt;=0,"",IF(G51&lt;=2,"Muy Baja",IF(G51&lt;=24,"Baja",IF(G51&lt;=500,"Media",IF(G51&lt;=5000,"Alta","Muy Alta")))))</f>
        <v/>
      </c>
      <c r="I51" s="207" t="str">
        <f>IF(H51="","",IF(H51="Muy Baja",0.2,IF(H51="Baja",0.4,IF(H51="Media",0.6,IF(H51="Alta",0.8,IF(H51="Muy Alta",1,))))))</f>
        <v/>
      </c>
      <c r="J51" s="213"/>
      <c r="K51" s="207">
        <f ca="1">IF(NOT(ISERROR(MATCH(J51,'Tabla Impacto'!$B$221:$B$223,0))),'Tabla Impacto'!$F$223&amp;"Por favor no seleccionar los criterios de impacto(Afectación Económica o presupuestal y Pérdida Reputacional)",J51)</f>
        <v>0</v>
      </c>
      <c r="L51" s="212" t="str">
        <f ca="1">IF(OR(K51='Tabla Impacto'!$C$11,K51='Tabla Impacto'!$D$11),"Leve",IF(OR(K51='Tabla Impacto'!$C$12,K51='Tabla Impacto'!$D$12),"Menor",IF(OR(K51='Tabla Impacto'!$C$13,K51='Tabla Impacto'!$D$13),"Moderado",IF(OR(K51='Tabla Impacto'!$C$14,K51='Tabla Impacto'!$D$14),"Mayor",IF(OR(K51='Tabla Impacto'!$C$15,K51='Tabla Impacto'!$D$15),"Catastrófico","")))))</f>
        <v/>
      </c>
      <c r="M51" s="207" t="str">
        <f ca="1">IF(L51="","",IF(L51="Leve",0.2,IF(L51="Menor",0.4,IF(L51="Moderado",0.6,IF(L51="Mayor",0.8,IF(L51="Catastrófico",1,))))))</f>
        <v/>
      </c>
      <c r="N51" s="208"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hidden="1" x14ac:dyDescent="0.2">
      <c r="A52" s="205"/>
      <c r="B52" s="209"/>
      <c r="C52" s="209"/>
      <c r="D52" s="209"/>
      <c r="E52" s="210"/>
      <c r="F52" s="209"/>
      <c r="G52" s="211"/>
      <c r="H52" s="212"/>
      <c r="I52" s="207"/>
      <c r="J52" s="213"/>
      <c r="K52" s="207">
        <f ca="1">IF(NOT(ISERROR(MATCH(J52,_xlfn.ANCHORARRAY(E63),0))),I65&amp;"Por favor no seleccionar los criterios de impacto",J52)</f>
        <v>0</v>
      </c>
      <c r="L52" s="212"/>
      <c r="M52" s="207"/>
      <c r="N52" s="208"/>
      <c r="O52" s="122">
        <v>2</v>
      </c>
      <c r="P52" s="123"/>
      <c r="Q52" s="124" t="str">
        <f>IF(OR(R52="Preventivo",R52="Detectivo"),"Probabilidad",IF(R52="Correctivo","Impacto",""))</f>
        <v/>
      </c>
      <c r="R52" s="125"/>
      <c r="S52" s="125"/>
      <c r="T52" s="126" t="str">
        <f t="shared" ref="T52:T56" si="39">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4"/>
        <v/>
      </c>
      <c r="Z52" s="126" t="str">
        <f t="shared" ref="Z52:Z56" si="40">+X52</f>
        <v/>
      </c>
      <c r="AA52" s="128" t="str">
        <f t="shared" si="6"/>
        <v/>
      </c>
      <c r="AB52" s="126" t="str">
        <f>IFERROR(IF(AND(Q51="Impacto",Q52="Impacto"),(AB45-(+AB45*T52)),IF(Q52="Impacto",($M$51-(+$M$51*T52)),IF(Q52="Probabilidad",AB45,""))),"")</f>
        <v/>
      </c>
      <c r="AC52" s="129" t="str">
        <f t="shared" ref="AC52:AC53" si="41">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hidden="1" x14ac:dyDescent="0.2">
      <c r="A53" s="205"/>
      <c r="B53" s="209"/>
      <c r="C53" s="209"/>
      <c r="D53" s="209"/>
      <c r="E53" s="210"/>
      <c r="F53" s="209"/>
      <c r="G53" s="211"/>
      <c r="H53" s="212"/>
      <c r="I53" s="207"/>
      <c r="J53" s="213"/>
      <c r="K53" s="207">
        <f ca="1">IF(NOT(ISERROR(MATCH(J53,_xlfn.ANCHORARRAY(E64),0))),I66&amp;"Por favor no seleccionar los criterios de impacto",J53)</f>
        <v>0</v>
      </c>
      <c r="L53" s="212"/>
      <c r="M53" s="207"/>
      <c r="N53" s="208"/>
      <c r="O53" s="122">
        <v>3</v>
      </c>
      <c r="P53" s="134"/>
      <c r="Q53" s="124" t="str">
        <f>IF(OR(R53="Preventivo",R53="Detectivo"),"Probabilidad",IF(R53="Correctivo","Impacto",""))</f>
        <v/>
      </c>
      <c r="R53" s="125"/>
      <c r="S53" s="125"/>
      <c r="T53" s="126" t="str">
        <f t="shared" si="39"/>
        <v/>
      </c>
      <c r="U53" s="125"/>
      <c r="V53" s="125"/>
      <c r="W53" s="125"/>
      <c r="X53" s="127" t="str">
        <f>IFERROR(IF(AND(Q52="Probabilidad",Q53="Probabilidad"),(Z52-(+Z52*T53)),IF(AND(Q52="Impacto",Q53="Probabilidad"),(Z51-(+Z51*T53)),IF(Q53="Impacto",Z52,""))),"")</f>
        <v/>
      </c>
      <c r="Y53" s="128" t="str">
        <f t="shared" si="4"/>
        <v/>
      </c>
      <c r="Z53" s="126" t="str">
        <f t="shared" si="40"/>
        <v/>
      </c>
      <c r="AA53" s="128" t="str">
        <f t="shared" si="6"/>
        <v/>
      </c>
      <c r="AB53" s="126" t="str">
        <f>IFERROR(IF(AND(Q52="Impacto",Q53="Impacto"),(AB52-(+AB52*T53)),IF(AND(Q52="Probabilidad",Q53="Impacto"),(AB51-(+AB51*T53)),IF(Q53="Probabilidad",AB52,""))),"")</f>
        <v/>
      </c>
      <c r="AC53" s="129" t="str">
        <f t="shared" si="41"/>
        <v/>
      </c>
      <c r="AD53" s="125"/>
      <c r="AE53" s="130"/>
      <c r="AF53" s="131"/>
      <c r="AG53" s="132"/>
      <c r="AH53" s="132"/>
      <c r="AI53" s="130"/>
      <c r="AJ53" s="131"/>
    </row>
    <row r="54" spans="1:68" hidden="1" x14ac:dyDescent="0.2">
      <c r="A54" s="205"/>
      <c r="B54" s="209"/>
      <c r="C54" s="209"/>
      <c r="D54" s="209"/>
      <c r="E54" s="210"/>
      <c r="F54" s="209"/>
      <c r="G54" s="211"/>
      <c r="H54" s="212"/>
      <c r="I54" s="207"/>
      <c r="J54" s="213"/>
      <c r="K54" s="207">
        <f ca="1">IF(NOT(ISERROR(MATCH(J54,_xlfn.ANCHORARRAY(E65),0))),I67&amp;"Por favor no seleccionar los criterios de impacto",J54)</f>
        <v>0</v>
      </c>
      <c r="L54" s="212"/>
      <c r="M54" s="207"/>
      <c r="N54" s="208"/>
      <c r="O54" s="122">
        <v>4</v>
      </c>
      <c r="P54" s="123"/>
      <c r="Q54" s="124" t="str">
        <f t="shared" ref="Q54:Q56" si="42">IF(OR(R54="Preventivo",R54="Detectivo"),"Probabilidad",IF(R54="Correctivo","Impacto",""))</f>
        <v/>
      </c>
      <c r="R54" s="125"/>
      <c r="S54" s="125"/>
      <c r="T54" s="126" t="str">
        <f t="shared" si="39"/>
        <v/>
      </c>
      <c r="U54" s="125"/>
      <c r="V54" s="125"/>
      <c r="W54" s="125"/>
      <c r="X54" s="127" t="str">
        <f t="shared" ref="X54:X56" si="43">IFERROR(IF(AND(Q53="Probabilidad",Q54="Probabilidad"),(Z53-(+Z53*T54)),IF(AND(Q53="Impacto",Q54="Probabilidad"),(Z52-(+Z52*T54)),IF(Q54="Impacto",Z53,""))),"")</f>
        <v/>
      </c>
      <c r="Y54" s="128" t="str">
        <f t="shared" si="4"/>
        <v/>
      </c>
      <c r="Z54" s="126" t="str">
        <f t="shared" si="40"/>
        <v/>
      </c>
      <c r="AA54" s="128" t="str">
        <f t="shared" si="6"/>
        <v/>
      </c>
      <c r="AB54" s="126" t="str">
        <f t="shared" ref="AB54:AB56" si="44">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hidden="1" x14ac:dyDescent="0.2">
      <c r="A55" s="205"/>
      <c r="B55" s="209"/>
      <c r="C55" s="209"/>
      <c r="D55" s="209"/>
      <c r="E55" s="210"/>
      <c r="F55" s="209"/>
      <c r="G55" s="211"/>
      <c r="H55" s="212"/>
      <c r="I55" s="207"/>
      <c r="J55" s="213"/>
      <c r="K55" s="207">
        <f ca="1">IF(NOT(ISERROR(MATCH(J55,_xlfn.ANCHORARRAY(E66),0))),I68&amp;"Por favor no seleccionar los criterios de impacto",J55)</f>
        <v>0</v>
      </c>
      <c r="L55" s="212"/>
      <c r="M55" s="207"/>
      <c r="N55" s="208"/>
      <c r="O55" s="122">
        <v>5</v>
      </c>
      <c r="P55" s="123"/>
      <c r="Q55" s="124" t="str">
        <f t="shared" si="42"/>
        <v/>
      </c>
      <c r="R55" s="125"/>
      <c r="S55" s="125"/>
      <c r="T55" s="126" t="str">
        <f t="shared" si="39"/>
        <v/>
      </c>
      <c r="U55" s="125"/>
      <c r="V55" s="125"/>
      <c r="W55" s="125"/>
      <c r="X55" s="127" t="str">
        <f t="shared" si="43"/>
        <v/>
      </c>
      <c r="Y55" s="128" t="str">
        <f t="shared" si="4"/>
        <v/>
      </c>
      <c r="Z55" s="126" t="str">
        <f t="shared" si="40"/>
        <v/>
      </c>
      <c r="AA55" s="128" t="str">
        <f t="shared" si="6"/>
        <v/>
      </c>
      <c r="AB55" s="126" t="str">
        <f t="shared" si="44"/>
        <v/>
      </c>
      <c r="AC55" s="129"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hidden="1" x14ac:dyDescent="0.2">
      <c r="A56" s="205"/>
      <c r="B56" s="209"/>
      <c r="C56" s="209"/>
      <c r="D56" s="209"/>
      <c r="E56" s="210"/>
      <c r="F56" s="209"/>
      <c r="G56" s="211"/>
      <c r="H56" s="212"/>
      <c r="I56" s="207"/>
      <c r="J56" s="213"/>
      <c r="K56" s="207">
        <f ca="1">IF(NOT(ISERROR(MATCH(J56,_xlfn.ANCHORARRAY(E67),0))),I69&amp;"Por favor no seleccionar los criterios de impacto",J56)</f>
        <v>0</v>
      </c>
      <c r="L56" s="212"/>
      <c r="M56" s="207"/>
      <c r="N56" s="208"/>
      <c r="O56" s="122">
        <v>6</v>
      </c>
      <c r="P56" s="123"/>
      <c r="Q56" s="124" t="str">
        <f t="shared" si="42"/>
        <v/>
      </c>
      <c r="R56" s="125"/>
      <c r="S56" s="125"/>
      <c r="T56" s="126" t="str">
        <f t="shared" si="39"/>
        <v/>
      </c>
      <c r="U56" s="125"/>
      <c r="V56" s="125"/>
      <c r="W56" s="125"/>
      <c r="X56" s="127" t="str">
        <f t="shared" si="43"/>
        <v/>
      </c>
      <c r="Y56" s="128" t="str">
        <f t="shared" si="4"/>
        <v/>
      </c>
      <c r="Z56" s="126" t="str">
        <f t="shared" si="40"/>
        <v/>
      </c>
      <c r="AA56" s="128" t="str">
        <f t="shared" si="6"/>
        <v/>
      </c>
      <c r="AB56" s="126" t="str">
        <f t="shared" si="44"/>
        <v/>
      </c>
      <c r="AC56" s="129" t="str">
        <f t="shared" si="45"/>
        <v/>
      </c>
      <c r="AD56" s="125"/>
      <c r="AE56" s="130"/>
      <c r="AF56" s="131"/>
      <c r="AG56" s="132"/>
      <c r="AH56" s="132"/>
      <c r="AI56" s="130"/>
      <c r="AJ56" s="131"/>
    </row>
    <row r="57" spans="1:68" ht="96" customHeight="1" x14ac:dyDescent="0.2">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68" priority="472" operator="equal">
      <formula>"Catastrófico"</formula>
    </cfRule>
    <cfRule type="cellIs" dxfId="267" priority="473" operator="equal">
      <formula>"Mayor"</formula>
    </cfRule>
    <cfRule type="cellIs" dxfId="266" priority="474" operator="equal">
      <formula>"Moderado"</formula>
    </cfRule>
    <cfRule type="cellIs" dxfId="265" priority="475" operator="equal">
      <formula>"Menor"</formula>
    </cfRule>
    <cfRule type="cellIs" dxfId="264" priority="476" operator="equal">
      <formula>"Leve"</formula>
    </cfRule>
  </conditionalFormatting>
  <conditionalFormatting sqref="N15">
    <cfRule type="cellIs" dxfId="263" priority="342" operator="equal">
      <formula>"Extremo"</formula>
    </cfRule>
    <cfRule type="cellIs" dxfId="262" priority="343" operator="equal">
      <formula>"Alto"</formula>
    </cfRule>
    <cfRule type="cellIs" dxfId="261" priority="344" operator="equal">
      <formula>"Moderado"</formula>
    </cfRule>
    <cfRule type="cellIs" dxfId="260" priority="345" operator="equal">
      <formula>"Bajo"</formula>
    </cfRule>
  </conditionalFormatting>
  <conditionalFormatting sqref="Y16:Y20">
    <cfRule type="cellIs" dxfId="259" priority="337" operator="equal">
      <formula>"Muy Alta"</formula>
    </cfRule>
    <cfRule type="cellIs" dxfId="258" priority="338" operator="equal">
      <formula>"Alta"</formula>
    </cfRule>
    <cfRule type="cellIs" dxfId="257" priority="339" operator="equal">
      <formula>"Media"</formula>
    </cfRule>
    <cfRule type="cellIs" dxfId="256" priority="340" operator="equal">
      <formula>"Baja"</formula>
    </cfRule>
    <cfRule type="cellIs" dxfId="255" priority="341" operator="equal">
      <formula>"Muy Baja"</formula>
    </cfRule>
  </conditionalFormatting>
  <conditionalFormatting sqref="AA16:AA20">
    <cfRule type="cellIs" dxfId="254" priority="332" operator="equal">
      <formula>"Catastrófico"</formula>
    </cfRule>
    <cfRule type="cellIs" dxfId="253" priority="333" operator="equal">
      <formula>"Mayor"</formula>
    </cfRule>
    <cfRule type="cellIs" dxfId="252" priority="334" operator="equal">
      <formula>"Moderado"</formula>
    </cfRule>
    <cfRule type="cellIs" dxfId="251" priority="335" operator="equal">
      <formula>"Menor"</formula>
    </cfRule>
    <cfRule type="cellIs" dxfId="250" priority="336" operator="equal">
      <formula>"Leve"</formula>
    </cfRule>
  </conditionalFormatting>
  <conditionalFormatting sqref="AC16:AC20">
    <cfRule type="cellIs" dxfId="249" priority="328" operator="equal">
      <formula>"Extremo"</formula>
    </cfRule>
    <cfRule type="cellIs" dxfId="248" priority="329" operator="equal">
      <formula>"Alto"</formula>
    </cfRule>
    <cfRule type="cellIs" dxfId="247" priority="330" operator="equal">
      <formula>"Moderado"</formula>
    </cfRule>
    <cfRule type="cellIs" dxfId="246" priority="331" operator="equal">
      <formula>"Bajo"</formula>
    </cfRule>
  </conditionalFormatting>
  <conditionalFormatting sqref="N21">
    <cfRule type="cellIs" dxfId="245" priority="314" operator="equal">
      <formula>"Extremo"</formula>
    </cfRule>
    <cfRule type="cellIs" dxfId="244" priority="315" operator="equal">
      <formula>"Alto"</formula>
    </cfRule>
    <cfRule type="cellIs" dxfId="243" priority="316" operator="equal">
      <formula>"Moderado"</formula>
    </cfRule>
    <cfRule type="cellIs" dxfId="242" priority="317" operator="equal">
      <formula>"Bajo"</formula>
    </cfRule>
  </conditionalFormatting>
  <conditionalFormatting sqref="Y22:Y26">
    <cfRule type="cellIs" dxfId="241" priority="309" operator="equal">
      <formula>"Muy Alta"</formula>
    </cfRule>
    <cfRule type="cellIs" dxfId="240" priority="310" operator="equal">
      <formula>"Alta"</formula>
    </cfRule>
    <cfRule type="cellIs" dxfId="239" priority="311" operator="equal">
      <formula>"Media"</formula>
    </cfRule>
    <cfRule type="cellIs" dxfId="238" priority="312" operator="equal">
      <formula>"Baja"</formula>
    </cfRule>
    <cfRule type="cellIs" dxfId="237" priority="313" operator="equal">
      <formula>"Muy Baja"</formula>
    </cfRule>
  </conditionalFormatting>
  <conditionalFormatting sqref="AA22:AA26">
    <cfRule type="cellIs" dxfId="236" priority="304" operator="equal">
      <formula>"Catastrófico"</formula>
    </cfRule>
    <cfRule type="cellIs" dxfId="235" priority="305" operator="equal">
      <formula>"Mayor"</formula>
    </cfRule>
    <cfRule type="cellIs" dxfId="234" priority="306" operator="equal">
      <formula>"Moderado"</formula>
    </cfRule>
    <cfRule type="cellIs" dxfId="233" priority="307" operator="equal">
      <formula>"Menor"</formula>
    </cfRule>
    <cfRule type="cellIs" dxfId="232" priority="308" operator="equal">
      <formula>"Leve"</formula>
    </cfRule>
  </conditionalFormatting>
  <conditionalFormatting sqref="AC22:AC26">
    <cfRule type="cellIs" dxfId="231" priority="300" operator="equal">
      <formula>"Extremo"</formula>
    </cfRule>
    <cfRule type="cellIs" dxfId="230" priority="301" operator="equal">
      <formula>"Alto"</formula>
    </cfRule>
    <cfRule type="cellIs" dxfId="229" priority="302" operator="equal">
      <formula>"Moderado"</formula>
    </cfRule>
    <cfRule type="cellIs" dxfId="228" priority="303" operator="equal">
      <formula>"Bajo"</formula>
    </cfRule>
  </conditionalFormatting>
  <conditionalFormatting sqref="N27">
    <cfRule type="cellIs" dxfId="227" priority="286" operator="equal">
      <formula>"Extremo"</formula>
    </cfRule>
    <cfRule type="cellIs" dxfId="226" priority="287" operator="equal">
      <formula>"Alto"</formula>
    </cfRule>
    <cfRule type="cellIs" dxfId="225" priority="288" operator="equal">
      <formula>"Moderado"</formula>
    </cfRule>
    <cfRule type="cellIs" dxfId="224" priority="289" operator="equal">
      <formula>"Bajo"</formula>
    </cfRule>
  </conditionalFormatting>
  <conditionalFormatting sqref="Y29:Y32">
    <cfRule type="cellIs" dxfId="223" priority="281" operator="equal">
      <formula>"Muy Alta"</formula>
    </cfRule>
    <cfRule type="cellIs" dxfId="222" priority="282" operator="equal">
      <formula>"Alta"</formula>
    </cfRule>
    <cfRule type="cellIs" dxfId="221" priority="283" operator="equal">
      <formula>"Media"</formula>
    </cfRule>
    <cfRule type="cellIs" dxfId="220" priority="284" operator="equal">
      <formula>"Baja"</formula>
    </cfRule>
    <cfRule type="cellIs" dxfId="219" priority="285" operator="equal">
      <formula>"Muy Baja"</formula>
    </cfRule>
  </conditionalFormatting>
  <conditionalFormatting sqref="AA29:AA32">
    <cfRule type="cellIs" dxfId="218" priority="276" operator="equal">
      <formula>"Catastrófico"</formula>
    </cfRule>
    <cfRule type="cellIs" dxfId="217" priority="277" operator="equal">
      <formula>"Mayor"</formula>
    </cfRule>
    <cfRule type="cellIs" dxfId="216" priority="278" operator="equal">
      <formula>"Moderado"</formula>
    </cfRule>
    <cfRule type="cellIs" dxfId="215" priority="279" operator="equal">
      <formula>"Menor"</formula>
    </cfRule>
    <cfRule type="cellIs" dxfId="214" priority="280" operator="equal">
      <formula>"Leve"</formula>
    </cfRule>
  </conditionalFormatting>
  <conditionalFormatting sqref="AC29:AC32">
    <cfRule type="cellIs" dxfId="213" priority="272" operator="equal">
      <formula>"Extremo"</formula>
    </cfRule>
    <cfRule type="cellIs" dxfId="212" priority="273" operator="equal">
      <formula>"Alto"</formula>
    </cfRule>
    <cfRule type="cellIs" dxfId="211" priority="274" operator="equal">
      <formula>"Moderado"</formula>
    </cfRule>
    <cfRule type="cellIs" dxfId="210" priority="275" operator="equal">
      <formula>"Bajo"</formula>
    </cfRule>
  </conditionalFormatting>
  <conditionalFormatting sqref="N33">
    <cfRule type="cellIs" dxfId="209" priority="258" operator="equal">
      <formula>"Extremo"</formula>
    </cfRule>
    <cfRule type="cellIs" dxfId="208" priority="259" operator="equal">
      <formula>"Alto"</formula>
    </cfRule>
    <cfRule type="cellIs" dxfId="207" priority="260" operator="equal">
      <formula>"Moderado"</formula>
    </cfRule>
    <cfRule type="cellIs" dxfId="206" priority="261" operator="equal">
      <formula>"Bajo"</formula>
    </cfRule>
  </conditionalFormatting>
  <conditionalFormatting sqref="Y33:Y38">
    <cfRule type="cellIs" dxfId="205" priority="253" operator="equal">
      <formula>"Muy Alta"</formula>
    </cfRule>
    <cfRule type="cellIs" dxfId="204" priority="254" operator="equal">
      <formula>"Alta"</formula>
    </cfRule>
    <cfRule type="cellIs" dxfId="203" priority="255" operator="equal">
      <formula>"Media"</formula>
    </cfRule>
    <cfRule type="cellIs" dxfId="202" priority="256" operator="equal">
      <formula>"Baja"</formula>
    </cfRule>
    <cfRule type="cellIs" dxfId="201" priority="257" operator="equal">
      <formula>"Muy Baja"</formula>
    </cfRule>
  </conditionalFormatting>
  <conditionalFormatting sqref="AA33:AA38">
    <cfRule type="cellIs" dxfId="200" priority="248" operator="equal">
      <formula>"Catastrófico"</formula>
    </cfRule>
    <cfRule type="cellIs" dxfId="199" priority="249" operator="equal">
      <formula>"Mayor"</formula>
    </cfRule>
    <cfRule type="cellIs" dxfId="198" priority="250" operator="equal">
      <formula>"Moderado"</formula>
    </cfRule>
    <cfRule type="cellIs" dxfId="197" priority="251" operator="equal">
      <formula>"Menor"</formula>
    </cfRule>
    <cfRule type="cellIs" dxfId="196" priority="252" operator="equal">
      <formula>"Leve"</formula>
    </cfRule>
  </conditionalFormatting>
  <conditionalFormatting sqref="AC33:AC38">
    <cfRule type="cellIs" dxfId="195" priority="244" operator="equal">
      <formula>"Extremo"</formula>
    </cfRule>
    <cfRule type="cellIs" dxfId="194" priority="245" operator="equal">
      <formula>"Alto"</formula>
    </cfRule>
    <cfRule type="cellIs" dxfId="193" priority="246" operator="equal">
      <formula>"Moderado"</formula>
    </cfRule>
    <cfRule type="cellIs" dxfId="192" priority="247" operator="equal">
      <formula>"Bajo"</formula>
    </cfRule>
  </conditionalFormatting>
  <conditionalFormatting sqref="N39">
    <cfRule type="cellIs" dxfId="191" priority="230" operator="equal">
      <formula>"Extremo"</formula>
    </cfRule>
    <cfRule type="cellIs" dxfId="190" priority="231" operator="equal">
      <formula>"Alto"</formula>
    </cfRule>
    <cfRule type="cellIs" dxfId="189" priority="232" operator="equal">
      <formula>"Moderado"</formula>
    </cfRule>
    <cfRule type="cellIs" dxfId="188" priority="233" operator="equal">
      <formula>"Bajo"</formula>
    </cfRule>
  </conditionalFormatting>
  <conditionalFormatting sqref="Y39:Y44">
    <cfRule type="cellIs" dxfId="187" priority="225" operator="equal">
      <formula>"Muy Alta"</formula>
    </cfRule>
    <cfRule type="cellIs" dxfId="186" priority="226" operator="equal">
      <formula>"Alta"</formula>
    </cfRule>
    <cfRule type="cellIs" dxfId="185" priority="227" operator="equal">
      <formula>"Media"</formula>
    </cfRule>
    <cfRule type="cellIs" dxfId="184" priority="228" operator="equal">
      <formula>"Baja"</formula>
    </cfRule>
    <cfRule type="cellIs" dxfId="183" priority="229" operator="equal">
      <formula>"Muy Baja"</formula>
    </cfRule>
  </conditionalFormatting>
  <conditionalFormatting sqref="AA39:AA44">
    <cfRule type="cellIs" dxfId="182" priority="220" operator="equal">
      <formula>"Catastrófico"</formula>
    </cfRule>
    <cfRule type="cellIs" dxfId="181" priority="221" operator="equal">
      <formula>"Mayor"</formula>
    </cfRule>
    <cfRule type="cellIs" dxfId="180" priority="222" operator="equal">
      <formula>"Moderado"</formula>
    </cfRule>
    <cfRule type="cellIs" dxfId="179" priority="223" operator="equal">
      <formula>"Menor"</formula>
    </cfRule>
    <cfRule type="cellIs" dxfId="178" priority="224" operator="equal">
      <formula>"Leve"</formula>
    </cfRule>
  </conditionalFormatting>
  <conditionalFormatting sqref="AC39:AC44">
    <cfRule type="cellIs" dxfId="177" priority="216" operator="equal">
      <formula>"Extremo"</formula>
    </cfRule>
    <cfRule type="cellIs" dxfId="176" priority="217" operator="equal">
      <formula>"Alto"</formula>
    </cfRule>
    <cfRule type="cellIs" dxfId="175" priority="218" operator="equal">
      <formula>"Moderado"</formula>
    </cfRule>
    <cfRule type="cellIs" dxfId="174" priority="219" operator="equal">
      <formula>"Bajo"</formula>
    </cfRule>
  </conditionalFormatting>
  <conditionalFormatting sqref="N45">
    <cfRule type="cellIs" dxfId="173" priority="202" operator="equal">
      <formula>"Extremo"</formula>
    </cfRule>
    <cfRule type="cellIs" dxfId="172" priority="203" operator="equal">
      <formula>"Alto"</formula>
    </cfRule>
    <cfRule type="cellIs" dxfId="171" priority="204" operator="equal">
      <formula>"Moderado"</formula>
    </cfRule>
    <cfRule type="cellIs" dxfId="170" priority="205" operator="equal">
      <formula>"Bajo"</formula>
    </cfRule>
  </conditionalFormatting>
  <conditionalFormatting sqref="Y45:Y50">
    <cfRule type="cellIs" dxfId="169" priority="197" operator="equal">
      <formula>"Muy Alta"</formula>
    </cfRule>
    <cfRule type="cellIs" dxfId="168" priority="198" operator="equal">
      <formula>"Alta"</formula>
    </cfRule>
    <cfRule type="cellIs" dxfId="167" priority="199" operator="equal">
      <formula>"Media"</formula>
    </cfRule>
    <cfRule type="cellIs" dxfId="166" priority="200" operator="equal">
      <formula>"Baja"</formula>
    </cfRule>
    <cfRule type="cellIs" dxfId="165" priority="201" operator="equal">
      <formula>"Muy Baja"</formula>
    </cfRule>
  </conditionalFormatting>
  <conditionalFormatting sqref="AA45:AA50">
    <cfRule type="cellIs" dxfId="164" priority="192" operator="equal">
      <formula>"Catastrófico"</formula>
    </cfRule>
    <cfRule type="cellIs" dxfId="163" priority="193" operator="equal">
      <formula>"Mayor"</formula>
    </cfRule>
    <cfRule type="cellIs" dxfId="162" priority="194" operator="equal">
      <formula>"Moderado"</formula>
    </cfRule>
    <cfRule type="cellIs" dxfId="161" priority="195" operator="equal">
      <formula>"Menor"</formula>
    </cfRule>
    <cfRule type="cellIs" dxfId="160" priority="196" operator="equal">
      <formula>"Leve"</formula>
    </cfRule>
  </conditionalFormatting>
  <conditionalFormatting sqref="AC45:AC50">
    <cfRule type="cellIs" dxfId="159" priority="188" operator="equal">
      <formula>"Extremo"</formula>
    </cfRule>
    <cfRule type="cellIs" dxfId="158" priority="189" operator="equal">
      <formula>"Alto"</formula>
    </cfRule>
    <cfRule type="cellIs" dxfId="157" priority="190" operator="equal">
      <formula>"Moderado"</formula>
    </cfRule>
    <cfRule type="cellIs" dxfId="156" priority="191" operator="equal">
      <formula>"Bajo"</formula>
    </cfRule>
  </conditionalFormatting>
  <conditionalFormatting sqref="N51">
    <cfRule type="cellIs" dxfId="155" priority="174" operator="equal">
      <formula>"Extremo"</formula>
    </cfRule>
    <cfRule type="cellIs" dxfId="154" priority="175" operator="equal">
      <formula>"Alto"</formula>
    </cfRule>
    <cfRule type="cellIs" dxfId="153" priority="176" operator="equal">
      <formula>"Moderado"</formula>
    </cfRule>
    <cfRule type="cellIs" dxfId="152" priority="177" operator="equal">
      <formula>"Bajo"</formula>
    </cfRule>
  </conditionalFormatting>
  <conditionalFormatting sqref="Y51:Y56">
    <cfRule type="cellIs" dxfId="151" priority="169" operator="equal">
      <formula>"Muy Alta"</formula>
    </cfRule>
    <cfRule type="cellIs" dxfId="150" priority="170" operator="equal">
      <formula>"Alta"</formula>
    </cfRule>
    <cfRule type="cellIs" dxfId="149" priority="171" operator="equal">
      <formula>"Media"</formula>
    </cfRule>
    <cfRule type="cellIs" dxfId="148" priority="172" operator="equal">
      <formula>"Baja"</formula>
    </cfRule>
    <cfRule type="cellIs" dxfId="147" priority="173" operator="equal">
      <formula>"Muy Baja"</formula>
    </cfRule>
  </conditionalFormatting>
  <conditionalFormatting sqref="AA51:AA56">
    <cfRule type="cellIs" dxfId="146" priority="164" operator="equal">
      <formula>"Catastrófico"</formula>
    </cfRule>
    <cfRule type="cellIs" dxfId="145" priority="165" operator="equal">
      <formula>"Mayor"</formula>
    </cfRule>
    <cfRule type="cellIs" dxfId="144" priority="166" operator="equal">
      <formula>"Moderado"</formula>
    </cfRule>
    <cfRule type="cellIs" dxfId="143" priority="167" operator="equal">
      <formula>"Menor"</formula>
    </cfRule>
    <cfRule type="cellIs" dxfId="142" priority="168" operator="equal">
      <formula>"Leve"</formula>
    </cfRule>
  </conditionalFormatting>
  <conditionalFormatting sqref="AC51:AC56">
    <cfRule type="cellIs" dxfId="141" priority="160" operator="equal">
      <formula>"Extremo"</formula>
    </cfRule>
    <cfRule type="cellIs" dxfId="140" priority="161" operator="equal">
      <formula>"Alto"</formula>
    </cfRule>
    <cfRule type="cellIs" dxfId="139" priority="162" operator="equal">
      <formula>"Moderado"</formula>
    </cfRule>
    <cfRule type="cellIs" dxfId="138" priority="163" operator="equal">
      <formula>"Bajo"</formula>
    </cfRule>
  </conditionalFormatting>
  <conditionalFormatting sqref="K9:K56">
    <cfRule type="containsText" dxfId="137" priority="159" operator="containsText" text="❌">
      <formula>NOT(ISERROR(SEARCH("❌",K9)))</formula>
    </cfRule>
  </conditionalFormatting>
  <conditionalFormatting sqref="H15">
    <cfRule type="cellIs" dxfId="136" priority="144" operator="equal">
      <formula>"Muy Alta"</formula>
    </cfRule>
    <cfRule type="cellIs" dxfId="135" priority="145" operator="equal">
      <formula>"Alta"</formula>
    </cfRule>
    <cfRule type="cellIs" dxfId="134" priority="146" operator="equal">
      <formula>"Media"</formula>
    </cfRule>
    <cfRule type="cellIs" dxfId="133" priority="147" operator="equal">
      <formula>"Baja"</formula>
    </cfRule>
    <cfRule type="cellIs" dxfId="132" priority="148" operator="equal">
      <formula>"Muy Baja"</formula>
    </cfRule>
  </conditionalFormatting>
  <conditionalFormatting sqref="H21">
    <cfRule type="cellIs" dxfId="131" priority="139" operator="equal">
      <formula>"Muy Alta"</formula>
    </cfRule>
    <cfRule type="cellIs" dxfId="130" priority="140" operator="equal">
      <formula>"Alta"</formula>
    </cfRule>
    <cfRule type="cellIs" dxfId="129" priority="141" operator="equal">
      <formula>"Media"</formula>
    </cfRule>
    <cfRule type="cellIs" dxfId="128" priority="142" operator="equal">
      <formula>"Baja"</formula>
    </cfRule>
    <cfRule type="cellIs" dxfId="127" priority="143" operator="equal">
      <formula>"Muy Baja"</formula>
    </cfRule>
  </conditionalFormatting>
  <conditionalFormatting sqref="H27">
    <cfRule type="cellIs" dxfId="126" priority="134" operator="equal">
      <formula>"Muy Alta"</formula>
    </cfRule>
    <cfRule type="cellIs" dxfId="125" priority="135" operator="equal">
      <formula>"Alta"</formula>
    </cfRule>
    <cfRule type="cellIs" dxfId="124" priority="136" operator="equal">
      <formula>"Media"</formula>
    </cfRule>
    <cfRule type="cellIs" dxfId="123" priority="137" operator="equal">
      <formula>"Baja"</formula>
    </cfRule>
    <cfRule type="cellIs" dxfId="122" priority="138" operator="equal">
      <formula>"Muy Baja"</formula>
    </cfRule>
  </conditionalFormatting>
  <conditionalFormatting sqref="H33">
    <cfRule type="cellIs" dxfId="121" priority="129" operator="equal">
      <formula>"Muy Alta"</formula>
    </cfRule>
    <cfRule type="cellIs" dxfId="120" priority="130" operator="equal">
      <formula>"Alta"</formula>
    </cfRule>
    <cfRule type="cellIs" dxfId="119" priority="131" operator="equal">
      <formula>"Media"</formula>
    </cfRule>
    <cfRule type="cellIs" dxfId="118" priority="132" operator="equal">
      <formula>"Baja"</formula>
    </cfRule>
    <cfRule type="cellIs" dxfId="117" priority="133" operator="equal">
      <formula>"Muy Baja"</formula>
    </cfRule>
  </conditionalFormatting>
  <conditionalFormatting sqref="H39">
    <cfRule type="cellIs" dxfId="116" priority="124" operator="equal">
      <formula>"Muy Alta"</formula>
    </cfRule>
    <cfRule type="cellIs" dxfId="115" priority="125" operator="equal">
      <formula>"Alta"</formula>
    </cfRule>
    <cfRule type="cellIs" dxfId="114" priority="126" operator="equal">
      <formula>"Media"</formula>
    </cfRule>
    <cfRule type="cellIs" dxfId="113" priority="127" operator="equal">
      <formula>"Baja"</formula>
    </cfRule>
    <cfRule type="cellIs" dxfId="112" priority="128" operator="equal">
      <formula>"Muy Baja"</formula>
    </cfRule>
  </conditionalFormatting>
  <conditionalFormatting sqref="H45">
    <cfRule type="cellIs" dxfId="111" priority="119" operator="equal">
      <formula>"Muy Alta"</formula>
    </cfRule>
    <cfRule type="cellIs" dxfId="110" priority="120" operator="equal">
      <formula>"Alta"</formula>
    </cfRule>
    <cfRule type="cellIs" dxfId="109" priority="121" operator="equal">
      <formula>"Media"</formula>
    </cfRule>
    <cfRule type="cellIs" dxfId="108" priority="122" operator="equal">
      <formula>"Baja"</formula>
    </cfRule>
    <cfRule type="cellIs" dxfId="107" priority="123" operator="equal">
      <formula>"Muy Baja"</formula>
    </cfRule>
  </conditionalFormatting>
  <conditionalFormatting sqref="H51">
    <cfRule type="cellIs" dxfId="106" priority="114" operator="equal">
      <formula>"Muy Alta"</formula>
    </cfRule>
    <cfRule type="cellIs" dxfId="105" priority="115" operator="equal">
      <formula>"Alta"</formula>
    </cfRule>
    <cfRule type="cellIs" dxfId="104" priority="116" operator="equal">
      <formula>"Media"</formula>
    </cfRule>
    <cfRule type="cellIs" dxfId="103" priority="117" operator="equal">
      <formula>"Baja"</formula>
    </cfRule>
    <cfRule type="cellIs" dxfId="102" priority="118" operator="equal">
      <formula>"Muy Baja"</formula>
    </cfRule>
  </conditionalFormatting>
  <conditionalFormatting sqref="L9">
    <cfRule type="cellIs" dxfId="101" priority="109" operator="equal">
      <formula>"Catastrófico"</formula>
    </cfRule>
    <cfRule type="cellIs" dxfId="100" priority="110" operator="equal">
      <formula>"Mayor"</formula>
    </cfRule>
    <cfRule type="cellIs" dxfId="99" priority="111" operator="equal">
      <formula>"Moderado"</formula>
    </cfRule>
    <cfRule type="cellIs" dxfId="98" priority="112" operator="equal">
      <formula>"Menor"</formula>
    </cfRule>
    <cfRule type="cellIs" dxfId="97" priority="113" operator="equal">
      <formula>"Leve"</formula>
    </cfRule>
  </conditionalFormatting>
  <conditionalFormatting sqref="N9">
    <cfRule type="cellIs" dxfId="96" priority="105" operator="equal">
      <formula>"Extremo"</formula>
    </cfRule>
    <cfRule type="cellIs" dxfId="95" priority="106" operator="equal">
      <formula>"Alto"</formula>
    </cfRule>
    <cfRule type="cellIs" dxfId="94" priority="107" operator="equal">
      <formula>"Moderado"</formula>
    </cfRule>
    <cfRule type="cellIs" dxfId="93" priority="108" operator="equal">
      <formula>"Bajo"</formula>
    </cfRule>
  </conditionalFormatting>
  <conditionalFormatting sqref="H9">
    <cfRule type="cellIs" dxfId="92" priority="99" operator="equal">
      <formula>"Muy Alta"</formula>
    </cfRule>
    <cfRule type="cellIs" dxfId="91" priority="100" operator="equal">
      <formula>"Alta"</formula>
    </cfRule>
    <cfRule type="cellIs" dxfId="90" priority="101" operator="equal">
      <formula>"Media"</formula>
    </cfRule>
    <cfRule type="cellIs" dxfId="89" priority="102" operator="equal">
      <formula>"Baja"</formula>
    </cfRule>
    <cfRule type="cellIs" dxfId="88" priority="103" operator="equal">
      <formula>"Muy Baja"</formula>
    </cfRule>
  </conditionalFormatting>
  <conditionalFormatting sqref="Y10:Y14">
    <cfRule type="cellIs" dxfId="87" priority="94" operator="equal">
      <formula>"Muy Alta"</formula>
    </cfRule>
    <cfRule type="cellIs" dxfId="86" priority="95" operator="equal">
      <formula>"Alta"</formula>
    </cfRule>
    <cfRule type="cellIs" dxfId="85" priority="96" operator="equal">
      <formula>"Media"</formula>
    </cfRule>
    <cfRule type="cellIs" dxfId="84" priority="97" operator="equal">
      <formula>"Baja"</formula>
    </cfRule>
    <cfRule type="cellIs" dxfId="83" priority="98" operator="equal">
      <formula>"Muy Baja"</formula>
    </cfRule>
  </conditionalFormatting>
  <conditionalFormatting sqref="AA10:AA14">
    <cfRule type="cellIs" dxfId="82" priority="89" operator="equal">
      <formula>"Catastrófico"</formula>
    </cfRule>
    <cfRule type="cellIs" dxfId="81" priority="90" operator="equal">
      <formula>"Mayor"</formula>
    </cfRule>
    <cfRule type="cellIs" dxfId="80" priority="91" operator="equal">
      <formula>"Moderado"</formula>
    </cfRule>
    <cfRule type="cellIs" dxfId="79" priority="92" operator="equal">
      <formula>"Menor"</formula>
    </cfRule>
    <cfRule type="cellIs" dxfId="78" priority="93" operator="equal">
      <formula>"Leve"</formula>
    </cfRule>
  </conditionalFormatting>
  <conditionalFormatting sqref="AC10:AC14">
    <cfRule type="cellIs" dxfId="77" priority="85" operator="equal">
      <formula>"Extremo"</formula>
    </cfRule>
    <cfRule type="cellIs" dxfId="76" priority="86" operator="equal">
      <formula>"Alto"</formula>
    </cfRule>
    <cfRule type="cellIs" dxfId="75" priority="87" operator="equal">
      <formula>"Moderado"</formula>
    </cfRule>
    <cfRule type="cellIs" dxfId="74" priority="88" operator="equal">
      <formula>"Bajo"</formula>
    </cfRule>
  </conditionalFormatting>
  <conditionalFormatting sqref="Y9">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9">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9">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15">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5">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5">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21">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21">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21">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27">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27">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27">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8">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8">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8">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323" t="s">
        <v>153</v>
      </c>
      <c r="C2" s="323"/>
      <c r="D2" s="323"/>
      <c r="E2" s="323"/>
      <c r="F2" s="323"/>
      <c r="G2" s="323"/>
      <c r="H2" s="323"/>
      <c r="I2" s="323"/>
      <c r="J2" s="291" t="s">
        <v>2</v>
      </c>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323"/>
      <c r="C3" s="323"/>
      <c r="D3" s="323"/>
      <c r="E3" s="323"/>
      <c r="F3" s="323"/>
      <c r="G3" s="323"/>
      <c r="H3" s="323"/>
      <c r="I3" s="323"/>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323"/>
      <c r="C4" s="323"/>
      <c r="D4" s="323"/>
      <c r="E4" s="323"/>
      <c r="F4" s="323"/>
      <c r="G4" s="323"/>
      <c r="H4" s="323"/>
      <c r="I4" s="323"/>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38" t="s">
        <v>4</v>
      </c>
      <c r="C6" s="238"/>
      <c r="D6" s="239"/>
      <c r="E6" s="276" t="s">
        <v>112</v>
      </c>
      <c r="F6" s="277"/>
      <c r="G6" s="277"/>
      <c r="H6" s="277"/>
      <c r="I6" s="278"/>
      <c r="J6" s="287" t="e">
        <f>IF(AND('Mapa final'!#REF!="Muy Alta",'Mapa final'!#REF!="Leve"),CONCATENATE("R",'Mapa final'!#REF!),"")</f>
        <v>#REF!</v>
      </c>
      <c r="K6" s="288"/>
      <c r="L6" s="288" t="e">
        <f>IF(AND('Mapa final'!#REF!="Muy Alta",'Mapa final'!#REF!="Leve"),CONCATENATE("R",'Mapa final'!#REF!),"")</f>
        <v>#REF!</v>
      </c>
      <c r="M6" s="288"/>
      <c r="N6" s="288" t="str">
        <f ca="1">IF(AND('Mapa final'!$H$9="Muy Alta",'Mapa final'!$L$9="Leve"),CONCATENATE("R",'Mapa final'!$A$9),"")</f>
        <v/>
      </c>
      <c r="O6" s="290"/>
      <c r="P6" s="287" t="e">
        <f>IF(AND('Mapa final'!#REF!="Muy Alta",'Mapa final'!#REF!="Menor"),CONCATENATE("R",'Mapa final'!#REF!),"")</f>
        <v>#REF!</v>
      </c>
      <c r="Q6" s="288"/>
      <c r="R6" s="288" t="e">
        <f>IF(AND('Mapa final'!#REF!="Muy Alta",'Mapa final'!#REF!="Menor"),CONCATENATE("R",'Mapa final'!#REF!),"")</f>
        <v>#REF!</v>
      </c>
      <c r="S6" s="288"/>
      <c r="T6" s="288" t="str">
        <f ca="1">IF(AND('Mapa final'!$H$9="Muy Alta",'Mapa final'!$L$9="Menor"),CONCATENATE("R",'Mapa final'!$A$9),"")</f>
        <v/>
      </c>
      <c r="U6" s="290"/>
      <c r="V6" s="287" t="e">
        <f>IF(AND('Mapa final'!#REF!="Muy Alta",'Mapa final'!#REF!="Moderado"),CONCATENATE("R",'Mapa final'!#REF!),"")</f>
        <v>#REF!</v>
      </c>
      <c r="W6" s="288"/>
      <c r="X6" s="288" t="e">
        <f>IF(AND('Mapa final'!#REF!="Muy Alta",'Mapa final'!#REF!="Moderado"),CONCATENATE("R",'Mapa final'!#REF!),"")</f>
        <v>#REF!</v>
      </c>
      <c r="Y6" s="288"/>
      <c r="Z6" s="288" t="str">
        <f ca="1">IF(AND('Mapa final'!$H$9="Muy Alta",'Mapa final'!$L$9="Moderado"),CONCATENATE("R",'Mapa final'!$A$9),"")</f>
        <v/>
      </c>
      <c r="AA6" s="290"/>
      <c r="AB6" s="287" t="e">
        <f>IF(AND('Mapa final'!#REF!="Muy Alta",'Mapa final'!#REF!="Mayor"),CONCATENATE("R",'Mapa final'!#REF!),"")</f>
        <v>#REF!</v>
      </c>
      <c r="AC6" s="288"/>
      <c r="AD6" s="288" t="e">
        <f>IF(AND('Mapa final'!#REF!="Muy Alta",'Mapa final'!#REF!="Mayor"),CONCATENATE("R",'Mapa final'!#REF!),"")</f>
        <v>#REF!</v>
      </c>
      <c r="AE6" s="288"/>
      <c r="AF6" s="288" t="str">
        <f ca="1">IF(AND('Mapa final'!$H$9="Muy Alta",'Mapa final'!$L$9="Mayor"),CONCATENATE("R",'Mapa final'!$A$9),"")</f>
        <v/>
      </c>
      <c r="AG6" s="290"/>
      <c r="AH6" s="302" t="e">
        <f>IF(AND('Mapa final'!#REF!="Muy Alta",'Mapa final'!#REF!="Catastrófico"),CONCATENATE("R",'Mapa final'!#REF!),"")</f>
        <v>#REF!</v>
      </c>
      <c r="AI6" s="303"/>
      <c r="AJ6" s="303" t="e">
        <f>IF(AND('Mapa final'!#REF!="Muy Alta",'Mapa final'!#REF!="Catastrófico"),CONCATENATE("R",'Mapa final'!#REF!),"")</f>
        <v>#REF!</v>
      </c>
      <c r="AK6" s="303"/>
      <c r="AL6" s="303" t="str">
        <f ca="1">IF(AND('Mapa final'!$H$9="Muy Alta",'Mapa final'!$L$9="Catastrófico"),CONCATENATE("R",'Mapa final'!$A$9),"")</f>
        <v/>
      </c>
      <c r="AM6" s="304"/>
      <c r="AO6" s="240" t="s">
        <v>77</v>
      </c>
      <c r="AP6" s="241"/>
      <c r="AQ6" s="241"/>
      <c r="AR6" s="241"/>
      <c r="AS6" s="241"/>
      <c r="AT6" s="242"/>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38"/>
      <c r="C7" s="238"/>
      <c r="D7" s="239"/>
      <c r="E7" s="279"/>
      <c r="F7" s="280"/>
      <c r="G7" s="280"/>
      <c r="H7" s="280"/>
      <c r="I7" s="281"/>
      <c r="J7" s="289"/>
      <c r="K7" s="285"/>
      <c r="L7" s="285"/>
      <c r="M7" s="285"/>
      <c r="N7" s="285"/>
      <c r="O7" s="286"/>
      <c r="P7" s="289"/>
      <c r="Q7" s="285"/>
      <c r="R7" s="285"/>
      <c r="S7" s="285"/>
      <c r="T7" s="285"/>
      <c r="U7" s="286"/>
      <c r="V7" s="289"/>
      <c r="W7" s="285"/>
      <c r="X7" s="285"/>
      <c r="Y7" s="285"/>
      <c r="Z7" s="285"/>
      <c r="AA7" s="286"/>
      <c r="AB7" s="289"/>
      <c r="AC7" s="285"/>
      <c r="AD7" s="285"/>
      <c r="AE7" s="285"/>
      <c r="AF7" s="285"/>
      <c r="AG7" s="286"/>
      <c r="AH7" s="296"/>
      <c r="AI7" s="297"/>
      <c r="AJ7" s="297"/>
      <c r="AK7" s="297"/>
      <c r="AL7" s="297"/>
      <c r="AM7" s="298"/>
      <c r="AN7" s="49"/>
      <c r="AO7" s="243"/>
      <c r="AP7" s="244"/>
      <c r="AQ7" s="244"/>
      <c r="AR7" s="244"/>
      <c r="AS7" s="244"/>
      <c r="AT7" s="245"/>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38"/>
      <c r="C8" s="238"/>
      <c r="D8" s="239"/>
      <c r="E8" s="279"/>
      <c r="F8" s="280"/>
      <c r="G8" s="280"/>
      <c r="H8" s="280"/>
      <c r="I8" s="281"/>
      <c r="J8" s="289" t="str">
        <f ca="1">IF(AND('Mapa final'!$H$15="Muy Alta",'Mapa final'!$L$15="Leve"),CONCATENATE("R",'Mapa final'!$A$15),"")</f>
        <v/>
      </c>
      <c r="K8" s="285"/>
      <c r="L8" s="285" t="str">
        <f ca="1">IF(AND('Mapa final'!$H$21="Muy Alta",'Mapa final'!$L$21="Leve"),CONCATENATE("R",'Mapa final'!$A$21),"")</f>
        <v/>
      </c>
      <c r="M8" s="285"/>
      <c r="N8" s="285" t="str">
        <f ca="1">IF(AND('Mapa final'!$H$27="Muy Alta",'Mapa final'!$L$27="Leve"),CONCATENATE("R",'Mapa final'!$A$27),"")</f>
        <v/>
      </c>
      <c r="O8" s="286"/>
      <c r="P8" s="289" t="str">
        <f ca="1">IF(AND('Mapa final'!$H$15="Muy Alta",'Mapa final'!$L$15="Menor"),CONCATENATE("R",'Mapa final'!$A$15),"")</f>
        <v/>
      </c>
      <c r="Q8" s="285"/>
      <c r="R8" s="285" t="str">
        <f ca="1">IF(AND('Mapa final'!$H$21="Muy Alta",'Mapa final'!$L$21="Menor"),CONCATENATE("R",'Mapa final'!$A$21),"")</f>
        <v/>
      </c>
      <c r="S8" s="285"/>
      <c r="T8" s="285" t="str">
        <f ca="1">IF(AND('Mapa final'!$H$27="Muy Alta",'Mapa final'!$L$27="Menor"),CONCATENATE("R",'Mapa final'!$A$27),"")</f>
        <v/>
      </c>
      <c r="U8" s="286"/>
      <c r="V8" s="289" t="str">
        <f ca="1">IF(AND('Mapa final'!$H$15="Muy Alta",'Mapa final'!$L$15="Moderado"),CONCATENATE("R",'Mapa final'!$A$15),"")</f>
        <v/>
      </c>
      <c r="W8" s="285"/>
      <c r="X8" s="285" t="str">
        <f ca="1">IF(AND('Mapa final'!$H$21="Muy Alta",'Mapa final'!$L$21="Moderado"),CONCATENATE("R",'Mapa final'!$A$21),"")</f>
        <v/>
      </c>
      <c r="Y8" s="285"/>
      <c r="Z8" s="285" t="str">
        <f ca="1">IF(AND('Mapa final'!$H$27="Muy Alta",'Mapa final'!$L$27="Moderado"),CONCATENATE("R",'Mapa final'!$A$27),"")</f>
        <v/>
      </c>
      <c r="AA8" s="286"/>
      <c r="AB8" s="289" t="str">
        <f ca="1">IF(AND('Mapa final'!$H$15="Muy Alta",'Mapa final'!$L$15="Mayor"),CONCATENATE("R",'Mapa final'!$A$15),"")</f>
        <v/>
      </c>
      <c r="AC8" s="285"/>
      <c r="AD8" s="285" t="str">
        <f ca="1">IF(AND('Mapa final'!$H$21="Muy Alta",'Mapa final'!$L$21="Mayor"),CONCATENATE("R",'Mapa final'!$A$21),"")</f>
        <v/>
      </c>
      <c r="AE8" s="285"/>
      <c r="AF8" s="285" t="str">
        <f ca="1">IF(AND('Mapa final'!$H$27="Muy Alta",'Mapa final'!$L$27="Mayor"),CONCATENATE("R",'Mapa final'!$A$27),"")</f>
        <v/>
      </c>
      <c r="AG8" s="286"/>
      <c r="AH8" s="296" t="str">
        <f ca="1">IF(AND('Mapa final'!$H$15="Muy Alta",'Mapa final'!$L$15="Catastrófico"),CONCATENATE("R",'Mapa final'!$A$15),"")</f>
        <v/>
      </c>
      <c r="AI8" s="297"/>
      <c r="AJ8" s="297" t="str">
        <f ca="1">IF(AND('Mapa final'!$H$21="Muy Alta",'Mapa final'!$L$21="Catastrófico"),CONCATENATE("R",'Mapa final'!$A$21),"")</f>
        <v/>
      </c>
      <c r="AK8" s="297"/>
      <c r="AL8" s="297" t="str">
        <f ca="1">IF(AND('Mapa final'!$H$27="Muy Alta",'Mapa final'!$L$27="Catastrófico"),CONCATENATE("R",'Mapa final'!$A$27),"")</f>
        <v/>
      </c>
      <c r="AM8" s="298"/>
      <c r="AN8" s="49"/>
      <c r="AO8" s="243"/>
      <c r="AP8" s="244"/>
      <c r="AQ8" s="244"/>
      <c r="AR8" s="244"/>
      <c r="AS8" s="244"/>
      <c r="AT8" s="245"/>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38"/>
      <c r="C9" s="238"/>
      <c r="D9" s="239"/>
      <c r="E9" s="279"/>
      <c r="F9" s="280"/>
      <c r="G9" s="280"/>
      <c r="H9" s="280"/>
      <c r="I9" s="281"/>
      <c r="J9" s="289"/>
      <c r="K9" s="285"/>
      <c r="L9" s="285"/>
      <c r="M9" s="285"/>
      <c r="N9" s="285"/>
      <c r="O9" s="286"/>
      <c r="P9" s="289"/>
      <c r="Q9" s="285"/>
      <c r="R9" s="285"/>
      <c r="S9" s="285"/>
      <c r="T9" s="285"/>
      <c r="U9" s="286"/>
      <c r="V9" s="289"/>
      <c r="W9" s="285"/>
      <c r="X9" s="285"/>
      <c r="Y9" s="285"/>
      <c r="Z9" s="285"/>
      <c r="AA9" s="286"/>
      <c r="AB9" s="289"/>
      <c r="AC9" s="285"/>
      <c r="AD9" s="285"/>
      <c r="AE9" s="285"/>
      <c r="AF9" s="285"/>
      <c r="AG9" s="286"/>
      <c r="AH9" s="296"/>
      <c r="AI9" s="297"/>
      <c r="AJ9" s="297"/>
      <c r="AK9" s="297"/>
      <c r="AL9" s="297"/>
      <c r="AM9" s="298"/>
      <c r="AN9" s="49"/>
      <c r="AO9" s="243"/>
      <c r="AP9" s="244"/>
      <c r="AQ9" s="244"/>
      <c r="AR9" s="244"/>
      <c r="AS9" s="244"/>
      <c r="AT9" s="245"/>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38"/>
      <c r="C10" s="238"/>
      <c r="D10" s="239"/>
      <c r="E10" s="279"/>
      <c r="F10" s="280"/>
      <c r="G10" s="280"/>
      <c r="H10" s="280"/>
      <c r="I10" s="281"/>
      <c r="J10" s="289" t="str">
        <f ca="1">IF(AND('Mapa final'!$H$33="Muy Alta",'Mapa final'!$L$33="Leve"),CONCATENATE("R",'Mapa final'!$A$33),"")</f>
        <v/>
      </c>
      <c r="K10" s="285"/>
      <c r="L10" s="285" t="str">
        <f ca="1">IF(AND('Mapa final'!$H$39="Muy Alta",'Mapa final'!$L$39="Leve"),CONCATENATE("R",'Mapa final'!$A$39),"")</f>
        <v/>
      </c>
      <c r="M10" s="285"/>
      <c r="N10" s="285" t="str">
        <f ca="1">IF(AND('Mapa final'!$H$45="Muy Alta",'Mapa final'!$L$45="Leve"),CONCATENATE("R",'Mapa final'!$A$45),"")</f>
        <v/>
      </c>
      <c r="O10" s="286"/>
      <c r="P10" s="289" t="str">
        <f ca="1">IF(AND('Mapa final'!$H$33="Muy Alta",'Mapa final'!$L$33="Menor"),CONCATENATE("R",'Mapa final'!$A$33),"")</f>
        <v/>
      </c>
      <c r="Q10" s="285"/>
      <c r="R10" s="285" t="str">
        <f ca="1">IF(AND('Mapa final'!$H$39="Muy Alta",'Mapa final'!$L$39="Menor"),CONCATENATE("R",'Mapa final'!$A$39),"")</f>
        <v/>
      </c>
      <c r="S10" s="285"/>
      <c r="T10" s="285" t="str">
        <f ca="1">IF(AND('Mapa final'!$H$45="Muy Alta",'Mapa final'!$L$45="Menor"),CONCATENATE("R",'Mapa final'!$A$45),"")</f>
        <v/>
      </c>
      <c r="U10" s="286"/>
      <c r="V10" s="289" t="str">
        <f ca="1">IF(AND('Mapa final'!$H$33="Muy Alta",'Mapa final'!$L$33="Moderado"),CONCATENATE("R",'Mapa final'!$A$33),"")</f>
        <v/>
      </c>
      <c r="W10" s="285"/>
      <c r="X10" s="285" t="str">
        <f ca="1">IF(AND('Mapa final'!$H$39="Muy Alta",'Mapa final'!$L$39="Moderado"),CONCATENATE("R",'Mapa final'!$A$39),"")</f>
        <v/>
      </c>
      <c r="Y10" s="285"/>
      <c r="Z10" s="285" t="str">
        <f ca="1">IF(AND('Mapa final'!$H$45="Muy Alta",'Mapa final'!$L$45="Moderado"),CONCATENATE("R",'Mapa final'!$A$45),"")</f>
        <v/>
      </c>
      <c r="AA10" s="286"/>
      <c r="AB10" s="289" t="str">
        <f ca="1">IF(AND('Mapa final'!$H$33="Muy Alta",'Mapa final'!$L$33="Mayor"),CONCATENATE("R",'Mapa final'!$A$33),"")</f>
        <v/>
      </c>
      <c r="AC10" s="285"/>
      <c r="AD10" s="285" t="str">
        <f ca="1">IF(AND('Mapa final'!$H$39="Muy Alta",'Mapa final'!$L$39="Mayor"),CONCATENATE("R",'Mapa final'!$A$39),"")</f>
        <v/>
      </c>
      <c r="AE10" s="285"/>
      <c r="AF10" s="285" t="str">
        <f ca="1">IF(AND('Mapa final'!$H$45="Muy Alta",'Mapa final'!$L$45="Mayor"),CONCATENATE("R",'Mapa final'!$A$45),"")</f>
        <v/>
      </c>
      <c r="AG10" s="286"/>
      <c r="AH10" s="296" t="str">
        <f ca="1">IF(AND('Mapa final'!$H$33="Muy Alta",'Mapa final'!$L$33="Catastrófico"),CONCATENATE("R",'Mapa final'!$A$33),"")</f>
        <v/>
      </c>
      <c r="AI10" s="297"/>
      <c r="AJ10" s="297" t="str">
        <f ca="1">IF(AND('Mapa final'!$H$39="Muy Alta",'Mapa final'!$L$39="Catastrófico"),CONCATENATE("R",'Mapa final'!$A$39),"")</f>
        <v/>
      </c>
      <c r="AK10" s="297"/>
      <c r="AL10" s="297" t="str">
        <f ca="1">IF(AND('Mapa final'!$H$45="Muy Alta",'Mapa final'!$L$45="Catastrófico"),CONCATENATE("R",'Mapa final'!$A$45),"")</f>
        <v/>
      </c>
      <c r="AM10" s="298"/>
      <c r="AN10" s="49"/>
      <c r="AO10" s="243"/>
      <c r="AP10" s="244"/>
      <c r="AQ10" s="244"/>
      <c r="AR10" s="244"/>
      <c r="AS10" s="244"/>
      <c r="AT10" s="245"/>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38"/>
      <c r="C11" s="238"/>
      <c r="D11" s="239"/>
      <c r="E11" s="279"/>
      <c r="F11" s="280"/>
      <c r="G11" s="280"/>
      <c r="H11" s="280"/>
      <c r="I11" s="281"/>
      <c r="J11" s="289"/>
      <c r="K11" s="285"/>
      <c r="L11" s="285"/>
      <c r="M11" s="285"/>
      <c r="N11" s="285"/>
      <c r="O11" s="286"/>
      <c r="P11" s="289"/>
      <c r="Q11" s="285"/>
      <c r="R11" s="285"/>
      <c r="S11" s="285"/>
      <c r="T11" s="285"/>
      <c r="U11" s="286"/>
      <c r="V11" s="289"/>
      <c r="W11" s="285"/>
      <c r="X11" s="285"/>
      <c r="Y11" s="285"/>
      <c r="Z11" s="285"/>
      <c r="AA11" s="286"/>
      <c r="AB11" s="289"/>
      <c r="AC11" s="285"/>
      <c r="AD11" s="285"/>
      <c r="AE11" s="285"/>
      <c r="AF11" s="285"/>
      <c r="AG11" s="286"/>
      <c r="AH11" s="296"/>
      <c r="AI11" s="297"/>
      <c r="AJ11" s="297"/>
      <c r="AK11" s="297"/>
      <c r="AL11" s="297"/>
      <c r="AM11" s="298"/>
      <c r="AN11" s="49"/>
      <c r="AO11" s="243"/>
      <c r="AP11" s="244"/>
      <c r="AQ11" s="244"/>
      <c r="AR11" s="244"/>
      <c r="AS11" s="244"/>
      <c r="AT11" s="245"/>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38"/>
      <c r="C12" s="238"/>
      <c r="D12" s="239"/>
      <c r="E12" s="279"/>
      <c r="F12" s="280"/>
      <c r="G12" s="280"/>
      <c r="H12" s="280"/>
      <c r="I12" s="281"/>
      <c r="J12" s="289" t="str">
        <f ca="1">IF(AND('Mapa final'!$H$51="Muy Alta",'Mapa final'!$L$51="Leve"),CONCATENATE("R",'Mapa final'!$A$51),"")</f>
        <v/>
      </c>
      <c r="K12" s="285"/>
      <c r="L12" s="285" t="str">
        <f>IF(AND('Mapa final'!$H$57="Muy Alta",'Mapa final'!$L$57="Leve"),CONCATENATE("R",'Mapa final'!$A$57),"")</f>
        <v/>
      </c>
      <c r="M12" s="285"/>
      <c r="N12" s="285" t="str">
        <f>IF(AND('Mapa final'!$H$63="Muy Alta",'Mapa final'!$L$63="Leve"),CONCATENATE("R",'Mapa final'!$A$63),"")</f>
        <v/>
      </c>
      <c r="O12" s="286"/>
      <c r="P12" s="289" t="str">
        <f ca="1">IF(AND('Mapa final'!$H$51="Muy Alta",'Mapa final'!$L$51="Menor"),CONCATENATE("R",'Mapa final'!$A$51),"")</f>
        <v/>
      </c>
      <c r="Q12" s="285"/>
      <c r="R12" s="285" t="str">
        <f>IF(AND('Mapa final'!$H$57="Muy Alta",'Mapa final'!$L$57="Menor"),CONCATENATE("R",'Mapa final'!$A$57),"")</f>
        <v/>
      </c>
      <c r="S12" s="285"/>
      <c r="T12" s="285" t="str">
        <f>IF(AND('Mapa final'!$H$63="Muy Alta",'Mapa final'!$L$63="Menor"),CONCATENATE("R",'Mapa final'!$A$63),"")</f>
        <v/>
      </c>
      <c r="U12" s="286"/>
      <c r="V12" s="289" t="str">
        <f ca="1">IF(AND('Mapa final'!$H$51="Muy Alta",'Mapa final'!$L$51="Moderado"),CONCATENATE("R",'Mapa final'!$A$51),"")</f>
        <v/>
      </c>
      <c r="W12" s="285"/>
      <c r="X12" s="285" t="str">
        <f>IF(AND('Mapa final'!$H$57="Muy Alta",'Mapa final'!$L$57="Moderado"),CONCATENATE("R",'Mapa final'!$A$57),"")</f>
        <v/>
      </c>
      <c r="Y12" s="285"/>
      <c r="Z12" s="285" t="str">
        <f>IF(AND('Mapa final'!$H$63="Muy Alta",'Mapa final'!$L$63="Moderado"),CONCATENATE("R",'Mapa final'!$A$63),"")</f>
        <v/>
      </c>
      <c r="AA12" s="286"/>
      <c r="AB12" s="289" t="str">
        <f ca="1">IF(AND('Mapa final'!$H$51="Muy Alta",'Mapa final'!$L$51="Mayor"),CONCATENATE("R",'Mapa final'!$A$51),"")</f>
        <v/>
      </c>
      <c r="AC12" s="285"/>
      <c r="AD12" s="285" t="str">
        <f>IF(AND('Mapa final'!$H$57="Muy Alta",'Mapa final'!$L$57="Mayor"),CONCATENATE("R",'Mapa final'!$A$57),"")</f>
        <v/>
      </c>
      <c r="AE12" s="285"/>
      <c r="AF12" s="285" t="str">
        <f>IF(AND('Mapa final'!$H$63="Muy Alta",'Mapa final'!$L$63="Mayor"),CONCATENATE("R",'Mapa final'!$A$63),"")</f>
        <v/>
      </c>
      <c r="AG12" s="286"/>
      <c r="AH12" s="296" t="str">
        <f ca="1">IF(AND('Mapa final'!$H$51="Muy Alta",'Mapa final'!$L$51="Catastrófico"),CONCATENATE("R",'Mapa final'!$A$51),"")</f>
        <v/>
      </c>
      <c r="AI12" s="297"/>
      <c r="AJ12" s="297" t="str">
        <f>IF(AND('Mapa final'!$H$57="Muy Alta",'Mapa final'!$L$57="Catastrófico"),CONCATENATE("R",'Mapa final'!$A$57),"")</f>
        <v/>
      </c>
      <c r="AK12" s="297"/>
      <c r="AL12" s="297" t="str">
        <f>IF(AND('Mapa final'!$H$63="Muy Alta",'Mapa final'!$L$63="Catastrófico"),CONCATENATE("R",'Mapa final'!$A$63),"")</f>
        <v/>
      </c>
      <c r="AM12" s="298"/>
      <c r="AN12" s="49"/>
      <c r="AO12" s="243"/>
      <c r="AP12" s="244"/>
      <c r="AQ12" s="244"/>
      <c r="AR12" s="244"/>
      <c r="AS12" s="244"/>
      <c r="AT12" s="245"/>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38"/>
      <c r="C13" s="238"/>
      <c r="D13" s="239"/>
      <c r="E13" s="282"/>
      <c r="F13" s="283"/>
      <c r="G13" s="283"/>
      <c r="H13" s="283"/>
      <c r="I13" s="284"/>
      <c r="J13" s="289"/>
      <c r="K13" s="285"/>
      <c r="L13" s="285"/>
      <c r="M13" s="285"/>
      <c r="N13" s="285"/>
      <c r="O13" s="286"/>
      <c r="P13" s="289"/>
      <c r="Q13" s="285"/>
      <c r="R13" s="285"/>
      <c r="S13" s="285"/>
      <c r="T13" s="285"/>
      <c r="U13" s="286"/>
      <c r="V13" s="289"/>
      <c r="W13" s="285"/>
      <c r="X13" s="285"/>
      <c r="Y13" s="285"/>
      <c r="Z13" s="285"/>
      <c r="AA13" s="286"/>
      <c r="AB13" s="289"/>
      <c r="AC13" s="285"/>
      <c r="AD13" s="285"/>
      <c r="AE13" s="285"/>
      <c r="AF13" s="285"/>
      <c r="AG13" s="286"/>
      <c r="AH13" s="299"/>
      <c r="AI13" s="300"/>
      <c r="AJ13" s="300"/>
      <c r="AK13" s="300"/>
      <c r="AL13" s="300"/>
      <c r="AM13" s="301"/>
      <c r="AN13" s="49"/>
      <c r="AO13" s="246"/>
      <c r="AP13" s="247"/>
      <c r="AQ13" s="247"/>
      <c r="AR13" s="247"/>
      <c r="AS13" s="247"/>
      <c r="AT13" s="248"/>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38"/>
      <c r="C14" s="238"/>
      <c r="D14" s="239"/>
      <c r="E14" s="276" t="s">
        <v>111</v>
      </c>
      <c r="F14" s="277"/>
      <c r="G14" s="277"/>
      <c r="H14" s="277"/>
      <c r="I14" s="277"/>
      <c r="J14" s="311" t="e">
        <f>IF(AND('Mapa final'!#REF!="Alta",'Mapa final'!#REF!="Leve"),CONCATENATE("R",'Mapa final'!#REF!),"")</f>
        <v>#REF!</v>
      </c>
      <c r="K14" s="312"/>
      <c r="L14" s="312" t="e">
        <f>IF(AND('Mapa final'!#REF!="Alta",'Mapa final'!#REF!="Leve"),CONCATENATE("R",'Mapa final'!#REF!),"")</f>
        <v>#REF!</v>
      </c>
      <c r="M14" s="312"/>
      <c r="N14" s="312" t="str">
        <f ca="1">IF(AND('Mapa final'!$H$9="Alta",'Mapa final'!$L$9="Leve"),CONCATENATE("R",'Mapa final'!$A$9),"")</f>
        <v/>
      </c>
      <c r="O14" s="313"/>
      <c r="P14" s="311" t="e">
        <f>IF(AND('Mapa final'!#REF!="Alta",'Mapa final'!#REF!="Menor"),CONCATENATE("R",'Mapa final'!#REF!),"")</f>
        <v>#REF!</v>
      </c>
      <c r="Q14" s="312"/>
      <c r="R14" s="312" t="e">
        <f>IF(AND('Mapa final'!#REF!="Alta",'Mapa final'!#REF!="Menor"),CONCATENATE("R",'Mapa final'!#REF!),"")</f>
        <v>#REF!</v>
      </c>
      <c r="S14" s="312"/>
      <c r="T14" s="312" t="str">
        <f ca="1">IF(AND('Mapa final'!$H$9="Alta",'Mapa final'!$L$9="Menor"),CONCATENATE("R",'Mapa final'!$A$9),"")</f>
        <v/>
      </c>
      <c r="U14" s="313"/>
      <c r="V14" s="287" t="e">
        <f>IF(AND('Mapa final'!#REF!="Alta",'Mapa final'!#REF!="Moderado"),CONCATENATE("R",'Mapa final'!#REF!),"")</f>
        <v>#REF!</v>
      </c>
      <c r="W14" s="288"/>
      <c r="X14" s="288" t="e">
        <f>IF(AND('Mapa final'!#REF!="Alta",'Mapa final'!#REF!="Moderado"),CONCATENATE("R",'Mapa final'!#REF!),"")</f>
        <v>#REF!</v>
      </c>
      <c r="Y14" s="288"/>
      <c r="Z14" s="288" t="str">
        <f ca="1">IF(AND('Mapa final'!$H$9="Alta",'Mapa final'!$L$9="Moderado"),CONCATENATE("R",'Mapa final'!$A$9),"")</f>
        <v/>
      </c>
      <c r="AA14" s="290"/>
      <c r="AB14" s="287" t="e">
        <f>IF(AND('Mapa final'!#REF!="Alta",'Mapa final'!#REF!="Mayor"),CONCATENATE("R",'Mapa final'!#REF!),"")</f>
        <v>#REF!</v>
      </c>
      <c r="AC14" s="288"/>
      <c r="AD14" s="288" t="e">
        <f>IF(AND('Mapa final'!#REF!="Alta",'Mapa final'!#REF!="Mayor"),CONCATENATE("R",'Mapa final'!#REF!),"")</f>
        <v>#REF!</v>
      </c>
      <c r="AE14" s="288"/>
      <c r="AF14" s="288" t="str">
        <f ca="1">IF(AND('Mapa final'!$H$9="Alta",'Mapa final'!$L$9="Mayor"),CONCATENATE("R",'Mapa final'!$A$9),"")</f>
        <v/>
      </c>
      <c r="AG14" s="290"/>
      <c r="AH14" s="302" t="e">
        <f>IF(AND('Mapa final'!#REF!="Alta",'Mapa final'!#REF!="Catastrófico"),CONCATENATE("R",'Mapa final'!#REF!),"")</f>
        <v>#REF!</v>
      </c>
      <c r="AI14" s="303"/>
      <c r="AJ14" s="303" t="e">
        <f>IF(AND('Mapa final'!#REF!="Alta",'Mapa final'!#REF!="Catastrófico"),CONCATENATE("R",'Mapa final'!#REF!),"")</f>
        <v>#REF!</v>
      </c>
      <c r="AK14" s="303"/>
      <c r="AL14" s="303" t="str">
        <f ca="1">IF(AND('Mapa final'!$H$9="Alta",'Mapa final'!$L$9="Catastrófico"),CONCATENATE("R",'Mapa final'!$A$9),"")</f>
        <v/>
      </c>
      <c r="AM14" s="304"/>
      <c r="AN14" s="49"/>
      <c r="AO14" s="249" t="s">
        <v>78</v>
      </c>
      <c r="AP14" s="250"/>
      <c r="AQ14" s="250"/>
      <c r="AR14" s="250"/>
      <c r="AS14" s="250"/>
      <c r="AT14" s="251"/>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38"/>
      <c r="C15" s="238"/>
      <c r="D15" s="239"/>
      <c r="E15" s="279"/>
      <c r="F15" s="280"/>
      <c r="G15" s="280"/>
      <c r="H15" s="280"/>
      <c r="I15" s="280"/>
      <c r="J15" s="305"/>
      <c r="K15" s="306"/>
      <c r="L15" s="306"/>
      <c r="M15" s="306"/>
      <c r="N15" s="306"/>
      <c r="O15" s="307"/>
      <c r="P15" s="305"/>
      <c r="Q15" s="306"/>
      <c r="R15" s="306"/>
      <c r="S15" s="306"/>
      <c r="T15" s="306"/>
      <c r="U15" s="307"/>
      <c r="V15" s="289"/>
      <c r="W15" s="285"/>
      <c r="X15" s="285"/>
      <c r="Y15" s="285"/>
      <c r="Z15" s="285"/>
      <c r="AA15" s="286"/>
      <c r="AB15" s="289"/>
      <c r="AC15" s="285"/>
      <c r="AD15" s="285"/>
      <c r="AE15" s="285"/>
      <c r="AF15" s="285"/>
      <c r="AG15" s="286"/>
      <c r="AH15" s="296"/>
      <c r="AI15" s="297"/>
      <c r="AJ15" s="297"/>
      <c r="AK15" s="297"/>
      <c r="AL15" s="297"/>
      <c r="AM15" s="298"/>
      <c r="AN15" s="49"/>
      <c r="AO15" s="252"/>
      <c r="AP15" s="253"/>
      <c r="AQ15" s="253"/>
      <c r="AR15" s="253"/>
      <c r="AS15" s="253"/>
      <c r="AT15" s="254"/>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38"/>
      <c r="C16" s="238"/>
      <c r="D16" s="239"/>
      <c r="E16" s="279"/>
      <c r="F16" s="280"/>
      <c r="G16" s="280"/>
      <c r="H16" s="280"/>
      <c r="I16" s="280"/>
      <c r="J16" s="305" t="str">
        <f ca="1">IF(AND('Mapa final'!$H$15="Alta",'Mapa final'!$L$15="Leve"),CONCATENATE("R",'Mapa final'!$A$15),"")</f>
        <v/>
      </c>
      <c r="K16" s="306"/>
      <c r="L16" s="306" t="str">
        <f ca="1">IF(AND('Mapa final'!$H$21="Alta",'Mapa final'!$L$21="Leve"),CONCATENATE("R",'Mapa final'!$A$21),"")</f>
        <v/>
      </c>
      <c r="M16" s="306"/>
      <c r="N16" s="306" t="str">
        <f ca="1">IF(AND('Mapa final'!$H$27="Alta",'Mapa final'!$L$27="Leve"),CONCATENATE("R",'Mapa final'!$A$27),"")</f>
        <v/>
      </c>
      <c r="O16" s="307"/>
      <c r="P16" s="305" t="str">
        <f ca="1">IF(AND('Mapa final'!$H$15="Alta",'Mapa final'!$L$15="Menor"),CONCATENATE("R",'Mapa final'!$A$15),"")</f>
        <v/>
      </c>
      <c r="Q16" s="306"/>
      <c r="R16" s="306" t="str">
        <f ca="1">IF(AND('Mapa final'!$H$21="Alta",'Mapa final'!$L$21="Menor"),CONCATENATE("R",'Mapa final'!$A$21),"")</f>
        <v/>
      </c>
      <c r="S16" s="306"/>
      <c r="T16" s="306" t="str">
        <f ca="1">IF(AND('Mapa final'!$H$27="Alta",'Mapa final'!$L$27="Menor"),CONCATENATE("R",'Mapa final'!$A$27),"")</f>
        <v/>
      </c>
      <c r="U16" s="307"/>
      <c r="V16" s="289" t="str">
        <f ca="1">IF(AND('Mapa final'!$H$15="Alta",'Mapa final'!$L$15="Moderado"),CONCATENATE("R",'Mapa final'!$A$15),"")</f>
        <v/>
      </c>
      <c r="W16" s="285"/>
      <c r="X16" s="285" t="str">
        <f ca="1">IF(AND('Mapa final'!$H$21="Alta",'Mapa final'!$L$21="Moderado"),CONCATENATE("R",'Mapa final'!$A$21),"")</f>
        <v/>
      </c>
      <c r="Y16" s="285"/>
      <c r="Z16" s="285" t="str">
        <f ca="1">IF(AND('Mapa final'!$H$27="Alta",'Mapa final'!$L$27="Moderado"),CONCATENATE("R",'Mapa final'!$A$27),"")</f>
        <v/>
      </c>
      <c r="AA16" s="286"/>
      <c r="AB16" s="289" t="str">
        <f ca="1">IF(AND('Mapa final'!$H$15="Alta",'Mapa final'!$L$15="Mayor"),CONCATENATE("R",'Mapa final'!$A$15),"")</f>
        <v/>
      </c>
      <c r="AC16" s="285"/>
      <c r="AD16" s="285" t="str">
        <f ca="1">IF(AND('Mapa final'!$H$21="Alta",'Mapa final'!$L$21="Mayor"),CONCATENATE("R",'Mapa final'!$A$21),"")</f>
        <v/>
      </c>
      <c r="AE16" s="285"/>
      <c r="AF16" s="285" t="str">
        <f ca="1">IF(AND('Mapa final'!$H$27="Alta",'Mapa final'!$L$27="Mayor"),CONCATENATE("R",'Mapa final'!$A$27),"")</f>
        <v/>
      </c>
      <c r="AG16" s="286"/>
      <c r="AH16" s="296" t="str">
        <f ca="1">IF(AND('Mapa final'!$H$15="Alta",'Mapa final'!$L$15="Catastrófico"),CONCATENATE("R",'Mapa final'!$A$15),"")</f>
        <v/>
      </c>
      <c r="AI16" s="297"/>
      <c r="AJ16" s="297" t="str">
        <f ca="1">IF(AND('Mapa final'!$H$21="Alta",'Mapa final'!$L$21="Catastrófico"),CONCATENATE("R",'Mapa final'!$A$21),"")</f>
        <v/>
      </c>
      <c r="AK16" s="297"/>
      <c r="AL16" s="297" t="str">
        <f ca="1">IF(AND('Mapa final'!$H$27="Alta",'Mapa final'!$L$27="Catastrófico"),CONCATENATE("R",'Mapa final'!$A$27),"")</f>
        <v/>
      </c>
      <c r="AM16" s="298"/>
      <c r="AN16" s="49"/>
      <c r="AO16" s="252"/>
      <c r="AP16" s="253"/>
      <c r="AQ16" s="253"/>
      <c r="AR16" s="253"/>
      <c r="AS16" s="253"/>
      <c r="AT16" s="254"/>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38"/>
      <c r="C17" s="238"/>
      <c r="D17" s="239"/>
      <c r="E17" s="279"/>
      <c r="F17" s="280"/>
      <c r="G17" s="280"/>
      <c r="H17" s="280"/>
      <c r="I17" s="280"/>
      <c r="J17" s="305"/>
      <c r="K17" s="306"/>
      <c r="L17" s="306"/>
      <c r="M17" s="306"/>
      <c r="N17" s="306"/>
      <c r="O17" s="307"/>
      <c r="P17" s="305"/>
      <c r="Q17" s="306"/>
      <c r="R17" s="306"/>
      <c r="S17" s="306"/>
      <c r="T17" s="306"/>
      <c r="U17" s="307"/>
      <c r="V17" s="289"/>
      <c r="W17" s="285"/>
      <c r="X17" s="285"/>
      <c r="Y17" s="285"/>
      <c r="Z17" s="285"/>
      <c r="AA17" s="286"/>
      <c r="AB17" s="289"/>
      <c r="AC17" s="285"/>
      <c r="AD17" s="285"/>
      <c r="AE17" s="285"/>
      <c r="AF17" s="285"/>
      <c r="AG17" s="286"/>
      <c r="AH17" s="296"/>
      <c r="AI17" s="297"/>
      <c r="AJ17" s="297"/>
      <c r="AK17" s="297"/>
      <c r="AL17" s="297"/>
      <c r="AM17" s="298"/>
      <c r="AN17" s="49"/>
      <c r="AO17" s="252"/>
      <c r="AP17" s="253"/>
      <c r="AQ17" s="253"/>
      <c r="AR17" s="253"/>
      <c r="AS17" s="253"/>
      <c r="AT17" s="25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38"/>
      <c r="C18" s="238"/>
      <c r="D18" s="239"/>
      <c r="E18" s="279"/>
      <c r="F18" s="280"/>
      <c r="G18" s="280"/>
      <c r="H18" s="280"/>
      <c r="I18" s="280"/>
      <c r="J18" s="305" t="str">
        <f ca="1">IF(AND('Mapa final'!$H$33="Alta",'Mapa final'!$L$33="Leve"),CONCATENATE("R",'Mapa final'!$A$33),"")</f>
        <v/>
      </c>
      <c r="K18" s="306"/>
      <c r="L18" s="306" t="str">
        <f ca="1">IF(AND('Mapa final'!$H$39="Alta",'Mapa final'!$L$39="Leve"),CONCATENATE("R",'Mapa final'!$A$39),"")</f>
        <v/>
      </c>
      <c r="M18" s="306"/>
      <c r="N18" s="306" t="str">
        <f ca="1">IF(AND('Mapa final'!$H$45="Alta",'Mapa final'!$L$45="Leve"),CONCATENATE("R",'Mapa final'!$A$45),"")</f>
        <v/>
      </c>
      <c r="O18" s="307"/>
      <c r="P18" s="305" t="str">
        <f ca="1">IF(AND('Mapa final'!$H$33="Alta",'Mapa final'!$L$33="Menor"),CONCATENATE("R",'Mapa final'!$A$33),"")</f>
        <v/>
      </c>
      <c r="Q18" s="306"/>
      <c r="R18" s="306" t="str">
        <f ca="1">IF(AND('Mapa final'!$H$39="Alta",'Mapa final'!$L$39="Menor"),CONCATENATE("R",'Mapa final'!$A$39),"")</f>
        <v/>
      </c>
      <c r="S18" s="306"/>
      <c r="T18" s="306" t="str">
        <f ca="1">IF(AND('Mapa final'!$H$45="Alta",'Mapa final'!$L$45="Menor"),CONCATENATE("R",'Mapa final'!$A$45),"")</f>
        <v/>
      </c>
      <c r="U18" s="307"/>
      <c r="V18" s="289" t="str">
        <f ca="1">IF(AND('Mapa final'!$H$33="Alta",'Mapa final'!$L$33="Moderado"),CONCATENATE("R",'Mapa final'!$A$33),"")</f>
        <v/>
      </c>
      <c r="W18" s="285"/>
      <c r="X18" s="285" t="str">
        <f ca="1">IF(AND('Mapa final'!$H$39="Alta",'Mapa final'!$L$39="Moderado"),CONCATENATE("R",'Mapa final'!$A$39),"")</f>
        <v/>
      </c>
      <c r="Y18" s="285"/>
      <c r="Z18" s="285" t="str">
        <f ca="1">IF(AND('Mapa final'!$H$45="Alta",'Mapa final'!$L$45="Moderado"),CONCATENATE("R",'Mapa final'!$A$45),"")</f>
        <v/>
      </c>
      <c r="AA18" s="286"/>
      <c r="AB18" s="289" t="str">
        <f ca="1">IF(AND('Mapa final'!$H$33="Alta",'Mapa final'!$L$33="Mayor"),CONCATENATE("R",'Mapa final'!$A$33),"")</f>
        <v/>
      </c>
      <c r="AC18" s="285"/>
      <c r="AD18" s="285" t="str">
        <f ca="1">IF(AND('Mapa final'!$H$39="Alta",'Mapa final'!$L$39="Mayor"),CONCATENATE("R",'Mapa final'!$A$39),"")</f>
        <v/>
      </c>
      <c r="AE18" s="285"/>
      <c r="AF18" s="285" t="str">
        <f ca="1">IF(AND('Mapa final'!$H$45="Alta",'Mapa final'!$L$45="Mayor"),CONCATENATE("R",'Mapa final'!$A$45),"")</f>
        <v/>
      </c>
      <c r="AG18" s="286"/>
      <c r="AH18" s="296" t="str">
        <f ca="1">IF(AND('Mapa final'!$H$33="Alta",'Mapa final'!$L$33="Catastrófico"),CONCATENATE("R",'Mapa final'!$A$33),"")</f>
        <v/>
      </c>
      <c r="AI18" s="297"/>
      <c r="AJ18" s="297" t="str">
        <f ca="1">IF(AND('Mapa final'!$H$39="Alta",'Mapa final'!$L$39="Catastrófico"),CONCATENATE("R",'Mapa final'!$A$39),"")</f>
        <v/>
      </c>
      <c r="AK18" s="297"/>
      <c r="AL18" s="297" t="str">
        <f ca="1">IF(AND('Mapa final'!$H$45="Alta",'Mapa final'!$L$45="Catastrófico"),CONCATENATE("R",'Mapa final'!$A$45),"")</f>
        <v/>
      </c>
      <c r="AM18" s="298"/>
      <c r="AN18" s="49"/>
      <c r="AO18" s="252"/>
      <c r="AP18" s="253"/>
      <c r="AQ18" s="253"/>
      <c r="AR18" s="253"/>
      <c r="AS18" s="253"/>
      <c r="AT18" s="25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38"/>
      <c r="C19" s="238"/>
      <c r="D19" s="239"/>
      <c r="E19" s="279"/>
      <c r="F19" s="280"/>
      <c r="G19" s="280"/>
      <c r="H19" s="280"/>
      <c r="I19" s="280"/>
      <c r="J19" s="305"/>
      <c r="K19" s="306"/>
      <c r="L19" s="306"/>
      <c r="M19" s="306"/>
      <c r="N19" s="306"/>
      <c r="O19" s="307"/>
      <c r="P19" s="305"/>
      <c r="Q19" s="306"/>
      <c r="R19" s="306"/>
      <c r="S19" s="306"/>
      <c r="T19" s="306"/>
      <c r="U19" s="307"/>
      <c r="V19" s="289"/>
      <c r="W19" s="285"/>
      <c r="X19" s="285"/>
      <c r="Y19" s="285"/>
      <c r="Z19" s="285"/>
      <c r="AA19" s="286"/>
      <c r="AB19" s="289"/>
      <c r="AC19" s="285"/>
      <c r="AD19" s="285"/>
      <c r="AE19" s="285"/>
      <c r="AF19" s="285"/>
      <c r="AG19" s="286"/>
      <c r="AH19" s="296"/>
      <c r="AI19" s="297"/>
      <c r="AJ19" s="297"/>
      <c r="AK19" s="297"/>
      <c r="AL19" s="297"/>
      <c r="AM19" s="298"/>
      <c r="AN19" s="49"/>
      <c r="AO19" s="252"/>
      <c r="AP19" s="253"/>
      <c r="AQ19" s="253"/>
      <c r="AR19" s="253"/>
      <c r="AS19" s="253"/>
      <c r="AT19" s="25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38"/>
      <c r="C20" s="238"/>
      <c r="D20" s="239"/>
      <c r="E20" s="279"/>
      <c r="F20" s="280"/>
      <c r="G20" s="280"/>
      <c r="H20" s="280"/>
      <c r="I20" s="280"/>
      <c r="J20" s="305" t="str">
        <f ca="1">IF(AND('Mapa final'!$H$51="Alta",'Mapa final'!$L$51="Leve"),CONCATENATE("R",'Mapa final'!$A$51),"")</f>
        <v/>
      </c>
      <c r="K20" s="306"/>
      <c r="L20" s="306" t="str">
        <f>IF(AND('Mapa final'!$H$57="Alta",'Mapa final'!$L$57="Leve"),CONCATENATE("R",'Mapa final'!$A$57),"")</f>
        <v/>
      </c>
      <c r="M20" s="306"/>
      <c r="N20" s="306" t="str">
        <f>IF(AND('Mapa final'!$H$63="Alta",'Mapa final'!$L$63="Leve"),CONCATENATE("R",'Mapa final'!$A$63),"")</f>
        <v/>
      </c>
      <c r="O20" s="307"/>
      <c r="P20" s="305" t="str">
        <f ca="1">IF(AND('Mapa final'!$H$51="Alta",'Mapa final'!$L$51="Menor"),CONCATENATE("R",'Mapa final'!$A$51),"")</f>
        <v/>
      </c>
      <c r="Q20" s="306"/>
      <c r="R20" s="306" t="str">
        <f>IF(AND('Mapa final'!$H$57="Alta",'Mapa final'!$L$57="Menor"),CONCATENATE("R",'Mapa final'!$A$57),"")</f>
        <v/>
      </c>
      <c r="S20" s="306"/>
      <c r="T20" s="306" t="str">
        <f>IF(AND('Mapa final'!$H$63="Alta",'Mapa final'!$L$63="Menor"),CONCATENATE("R",'Mapa final'!$A$63),"")</f>
        <v/>
      </c>
      <c r="U20" s="307"/>
      <c r="V20" s="289" t="str">
        <f ca="1">IF(AND('Mapa final'!$H$51="Alta",'Mapa final'!$L$51="Moderado"),CONCATENATE("R",'Mapa final'!$A$51),"")</f>
        <v/>
      </c>
      <c r="W20" s="285"/>
      <c r="X20" s="285" t="str">
        <f>IF(AND('Mapa final'!$H$57="Alta",'Mapa final'!$L$57="Moderado"),CONCATENATE("R",'Mapa final'!$A$57),"")</f>
        <v/>
      </c>
      <c r="Y20" s="285"/>
      <c r="Z20" s="285" t="str">
        <f>IF(AND('Mapa final'!$H$63="Alta",'Mapa final'!$L$63="Moderado"),CONCATENATE("R",'Mapa final'!$A$63),"")</f>
        <v/>
      </c>
      <c r="AA20" s="286"/>
      <c r="AB20" s="289" t="str">
        <f ca="1">IF(AND('Mapa final'!$H$51="Alta",'Mapa final'!$L$51="Mayor"),CONCATENATE("R",'Mapa final'!$A$51),"")</f>
        <v/>
      </c>
      <c r="AC20" s="285"/>
      <c r="AD20" s="285" t="str">
        <f>IF(AND('Mapa final'!$H$57="Alta",'Mapa final'!$L$57="Mayor"),CONCATENATE("R",'Mapa final'!$A$57),"")</f>
        <v/>
      </c>
      <c r="AE20" s="285"/>
      <c r="AF20" s="285" t="str">
        <f>IF(AND('Mapa final'!$H$63="Alta",'Mapa final'!$L$63="Mayor"),CONCATENATE("R",'Mapa final'!$A$63),"")</f>
        <v/>
      </c>
      <c r="AG20" s="286"/>
      <c r="AH20" s="296" t="str">
        <f ca="1">IF(AND('Mapa final'!$H$51="Alta",'Mapa final'!$L$51="Catastrófico"),CONCATENATE("R",'Mapa final'!$A$51),"")</f>
        <v/>
      </c>
      <c r="AI20" s="297"/>
      <c r="AJ20" s="297" t="str">
        <f>IF(AND('Mapa final'!$H$57="Alta",'Mapa final'!$L$57="Catastrófico"),CONCATENATE("R",'Mapa final'!$A$57),"")</f>
        <v/>
      </c>
      <c r="AK20" s="297"/>
      <c r="AL20" s="297" t="str">
        <f>IF(AND('Mapa final'!$H$63="Alta",'Mapa final'!$L$63="Catastrófico"),CONCATENATE("R",'Mapa final'!$A$63),"")</f>
        <v/>
      </c>
      <c r="AM20" s="298"/>
      <c r="AN20" s="49"/>
      <c r="AO20" s="252"/>
      <c r="AP20" s="253"/>
      <c r="AQ20" s="253"/>
      <c r="AR20" s="253"/>
      <c r="AS20" s="253"/>
      <c r="AT20" s="25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38"/>
      <c r="C21" s="238"/>
      <c r="D21" s="239"/>
      <c r="E21" s="282"/>
      <c r="F21" s="283"/>
      <c r="G21" s="283"/>
      <c r="H21" s="283"/>
      <c r="I21" s="283"/>
      <c r="J21" s="308"/>
      <c r="K21" s="309"/>
      <c r="L21" s="309"/>
      <c r="M21" s="309"/>
      <c r="N21" s="309"/>
      <c r="O21" s="310"/>
      <c r="P21" s="308"/>
      <c r="Q21" s="309"/>
      <c r="R21" s="309"/>
      <c r="S21" s="309"/>
      <c r="T21" s="309"/>
      <c r="U21" s="310"/>
      <c r="V21" s="293"/>
      <c r="W21" s="294"/>
      <c r="X21" s="294"/>
      <c r="Y21" s="294"/>
      <c r="Z21" s="294"/>
      <c r="AA21" s="295"/>
      <c r="AB21" s="293"/>
      <c r="AC21" s="294"/>
      <c r="AD21" s="294"/>
      <c r="AE21" s="294"/>
      <c r="AF21" s="294"/>
      <c r="AG21" s="295"/>
      <c r="AH21" s="299"/>
      <c r="AI21" s="300"/>
      <c r="AJ21" s="300"/>
      <c r="AK21" s="300"/>
      <c r="AL21" s="300"/>
      <c r="AM21" s="301"/>
      <c r="AN21" s="49"/>
      <c r="AO21" s="255"/>
      <c r="AP21" s="256"/>
      <c r="AQ21" s="256"/>
      <c r="AR21" s="256"/>
      <c r="AS21" s="256"/>
      <c r="AT21" s="257"/>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38"/>
      <c r="C22" s="238"/>
      <c r="D22" s="239"/>
      <c r="E22" s="276" t="s">
        <v>113</v>
      </c>
      <c r="F22" s="277"/>
      <c r="G22" s="277"/>
      <c r="H22" s="277"/>
      <c r="I22" s="278"/>
      <c r="J22" s="311" t="e">
        <f>IF(AND('Mapa final'!#REF!="Media",'Mapa final'!#REF!="Leve"),CONCATENATE("R",'Mapa final'!#REF!),"")</f>
        <v>#REF!</v>
      </c>
      <c r="K22" s="312"/>
      <c r="L22" s="312" t="e">
        <f>IF(AND('Mapa final'!#REF!="Media",'Mapa final'!#REF!="Leve"),CONCATENATE("R",'Mapa final'!#REF!),"")</f>
        <v>#REF!</v>
      </c>
      <c r="M22" s="312"/>
      <c r="N22" s="312" t="str">
        <f ca="1">IF(AND('Mapa final'!$H$9="Media",'Mapa final'!$L$9="Leve"),CONCATENATE("R",'Mapa final'!$A$9),"")</f>
        <v/>
      </c>
      <c r="O22" s="313"/>
      <c r="P22" s="311" t="e">
        <f>IF(AND('Mapa final'!#REF!="Media",'Mapa final'!#REF!="Menor"),CONCATENATE("R",'Mapa final'!#REF!),"")</f>
        <v>#REF!</v>
      </c>
      <c r="Q22" s="312"/>
      <c r="R22" s="312" t="e">
        <f>IF(AND('Mapa final'!#REF!="Media",'Mapa final'!#REF!="Menor"),CONCATENATE("R",'Mapa final'!#REF!),"")</f>
        <v>#REF!</v>
      </c>
      <c r="S22" s="312"/>
      <c r="T22" s="312" t="str">
        <f ca="1">IF(AND('Mapa final'!$H$9="Media",'Mapa final'!$L$9="Menor"),CONCATENATE("R",'Mapa final'!$A$9),"")</f>
        <v>R1</v>
      </c>
      <c r="U22" s="313"/>
      <c r="V22" s="311" t="e">
        <f>IF(AND('Mapa final'!#REF!="Media",'Mapa final'!#REF!="Moderado"),CONCATENATE("R",'Mapa final'!#REF!),"")</f>
        <v>#REF!</v>
      </c>
      <c r="W22" s="312"/>
      <c r="X22" s="312" t="e">
        <f>IF(AND('Mapa final'!#REF!="Media",'Mapa final'!#REF!="Moderado"),CONCATENATE("R",'Mapa final'!#REF!),"")</f>
        <v>#REF!</v>
      </c>
      <c r="Y22" s="312"/>
      <c r="Z22" s="312" t="str">
        <f ca="1">IF(AND('Mapa final'!$H$9="Media",'Mapa final'!$L$9="Moderado"),CONCATENATE("R",'Mapa final'!$A$9),"")</f>
        <v/>
      </c>
      <c r="AA22" s="313"/>
      <c r="AB22" s="287" t="e">
        <f>IF(AND('Mapa final'!#REF!="Media",'Mapa final'!#REF!="Mayor"),CONCATENATE("R",'Mapa final'!#REF!),"")</f>
        <v>#REF!</v>
      </c>
      <c r="AC22" s="288"/>
      <c r="AD22" s="288" t="e">
        <f>IF(AND('Mapa final'!#REF!="Media",'Mapa final'!#REF!="Mayor"),CONCATENATE("R",'Mapa final'!#REF!),"")</f>
        <v>#REF!</v>
      </c>
      <c r="AE22" s="288"/>
      <c r="AF22" s="288" t="str">
        <f ca="1">IF(AND('Mapa final'!$H$9="Media",'Mapa final'!$L$9="Mayor"),CONCATENATE("R",'Mapa final'!$A$9),"")</f>
        <v/>
      </c>
      <c r="AG22" s="290"/>
      <c r="AH22" s="302" t="e">
        <f>IF(AND('Mapa final'!#REF!="Media",'Mapa final'!#REF!="Catastrófico"),CONCATENATE("R",'Mapa final'!#REF!),"")</f>
        <v>#REF!</v>
      </c>
      <c r="AI22" s="303"/>
      <c r="AJ22" s="303" t="e">
        <f>IF(AND('Mapa final'!#REF!="Media",'Mapa final'!#REF!="Catastrófico"),CONCATENATE("R",'Mapa final'!#REF!),"")</f>
        <v>#REF!</v>
      </c>
      <c r="AK22" s="303"/>
      <c r="AL22" s="303" t="str">
        <f ca="1">IF(AND('Mapa final'!$H$9="Media",'Mapa final'!$L$9="Catastrófico"),CONCATENATE("R",'Mapa final'!$A$9),"")</f>
        <v/>
      </c>
      <c r="AM22" s="304"/>
      <c r="AN22" s="49"/>
      <c r="AO22" s="258" t="s">
        <v>79</v>
      </c>
      <c r="AP22" s="259"/>
      <c r="AQ22" s="259"/>
      <c r="AR22" s="259"/>
      <c r="AS22" s="259"/>
      <c r="AT22" s="260"/>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38"/>
      <c r="C23" s="238"/>
      <c r="D23" s="239"/>
      <c r="E23" s="279"/>
      <c r="F23" s="280"/>
      <c r="G23" s="280"/>
      <c r="H23" s="280"/>
      <c r="I23" s="281"/>
      <c r="J23" s="305"/>
      <c r="K23" s="306"/>
      <c r="L23" s="306"/>
      <c r="M23" s="306"/>
      <c r="N23" s="306"/>
      <c r="O23" s="307"/>
      <c r="P23" s="305"/>
      <c r="Q23" s="306"/>
      <c r="R23" s="306"/>
      <c r="S23" s="306"/>
      <c r="T23" s="306"/>
      <c r="U23" s="307"/>
      <c r="V23" s="305"/>
      <c r="W23" s="306"/>
      <c r="X23" s="306"/>
      <c r="Y23" s="306"/>
      <c r="Z23" s="306"/>
      <c r="AA23" s="307"/>
      <c r="AB23" s="289"/>
      <c r="AC23" s="285"/>
      <c r="AD23" s="285"/>
      <c r="AE23" s="285"/>
      <c r="AF23" s="285"/>
      <c r="AG23" s="286"/>
      <c r="AH23" s="296"/>
      <c r="AI23" s="297"/>
      <c r="AJ23" s="297"/>
      <c r="AK23" s="297"/>
      <c r="AL23" s="297"/>
      <c r="AM23" s="298"/>
      <c r="AN23" s="49"/>
      <c r="AO23" s="261"/>
      <c r="AP23" s="262"/>
      <c r="AQ23" s="262"/>
      <c r="AR23" s="262"/>
      <c r="AS23" s="262"/>
      <c r="AT23" s="263"/>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38"/>
      <c r="C24" s="238"/>
      <c r="D24" s="239"/>
      <c r="E24" s="279"/>
      <c r="F24" s="280"/>
      <c r="G24" s="280"/>
      <c r="H24" s="280"/>
      <c r="I24" s="281"/>
      <c r="J24" s="305" t="str">
        <f ca="1">IF(AND('Mapa final'!$H$15="Media",'Mapa final'!$L$15="Leve"),CONCATENATE("R",'Mapa final'!$A$15),"")</f>
        <v>R2</v>
      </c>
      <c r="K24" s="306"/>
      <c r="L24" s="306" t="str">
        <f ca="1">IF(AND('Mapa final'!$H$21="Media",'Mapa final'!$L$21="Leve"),CONCATENATE("R",'Mapa final'!$A$21),"")</f>
        <v/>
      </c>
      <c r="M24" s="306"/>
      <c r="N24" s="306" t="str">
        <f ca="1">IF(AND('Mapa final'!$H$27="Media",'Mapa final'!$L$27="Leve"),CONCATENATE("R",'Mapa final'!$A$27),"")</f>
        <v/>
      </c>
      <c r="O24" s="307"/>
      <c r="P24" s="305" t="str">
        <f ca="1">IF(AND('Mapa final'!$H$15="Media",'Mapa final'!$L$15="Menor"),CONCATENATE("R",'Mapa final'!$A$15),"")</f>
        <v/>
      </c>
      <c r="Q24" s="306"/>
      <c r="R24" s="306" t="str">
        <f ca="1">IF(AND('Mapa final'!$H$21="Media",'Mapa final'!$L$21="Menor"),CONCATENATE("R",'Mapa final'!$A$21),"")</f>
        <v>R3</v>
      </c>
      <c r="S24" s="306"/>
      <c r="T24" s="306" t="str">
        <f ca="1">IF(AND('Mapa final'!$H$27="Media",'Mapa final'!$L$27="Menor"),CONCATENATE("R",'Mapa final'!$A$27),"")</f>
        <v/>
      </c>
      <c r="U24" s="307"/>
      <c r="V24" s="305" t="str">
        <f ca="1">IF(AND('Mapa final'!$H$15="Media",'Mapa final'!$L$15="Moderado"),CONCATENATE("R",'Mapa final'!$A$15),"")</f>
        <v/>
      </c>
      <c r="W24" s="306"/>
      <c r="X24" s="306" t="str">
        <f ca="1">IF(AND('Mapa final'!$H$21="Media",'Mapa final'!$L$21="Moderado"),CONCATENATE("R",'Mapa final'!$A$21),"")</f>
        <v/>
      </c>
      <c r="Y24" s="306"/>
      <c r="Z24" s="306" t="str">
        <f ca="1">IF(AND('Mapa final'!$H$27="Media",'Mapa final'!$L$27="Moderado"),CONCATENATE("R",'Mapa final'!$A$27),"")</f>
        <v/>
      </c>
      <c r="AA24" s="307"/>
      <c r="AB24" s="289" t="str">
        <f ca="1">IF(AND('Mapa final'!$H$15="Media",'Mapa final'!$L$15="Mayor"),CONCATENATE("R",'Mapa final'!$A$15),"")</f>
        <v/>
      </c>
      <c r="AC24" s="285"/>
      <c r="AD24" s="285" t="str">
        <f ca="1">IF(AND('Mapa final'!$H$21="Media",'Mapa final'!$L$21="Mayor"),CONCATENATE("R",'Mapa final'!$A$21),"")</f>
        <v/>
      </c>
      <c r="AE24" s="285"/>
      <c r="AF24" s="285" t="str">
        <f ca="1">IF(AND('Mapa final'!$H$27="Media",'Mapa final'!$L$27="Mayor"),CONCATENATE("R",'Mapa final'!$A$27),"")</f>
        <v>R4</v>
      </c>
      <c r="AG24" s="286"/>
      <c r="AH24" s="296" t="str">
        <f ca="1">IF(AND('Mapa final'!$H$15="Media",'Mapa final'!$L$15="Catastrófico"),CONCATENATE("R",'Mapa final'!$A$15),"")</f>
        <v/>
      </c>
      <c r="AI24" s="297"/>
      <c r="AJ24" s="297" t="str">
        <f ca="1">IF(AND('Mapa final'!$H$21="Media",'Mapa final'!$L$21="Catastrófico"),CONCATENATE("R",'Mapa final'!$A$21),"")</f>
        <v/>
      </c>
      <c r="AK24" s="297"/>
      <c r="AL24" s="297" t="str">
        <f ca="1">IF(AND('Mapa final'!$H$27="Media",'Mapa final'!$L$27="Catastrófico"),CONCATENATE("R",'Mapa final'!$A$27),"")</f>
        <v/>
      </c>
      <c r="AM24" s="298"/>
      <c r="AN24" s="49"/>
      <c r="AO24" s="261"/>
      <c r="AP24" s="262"/>
      <c r="AQ24" s="262"/>
      <c r="AR24" s="262"/>
      <c r="AS24" s="262"/>
      <c r="AT24" s="263"/>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38"/>
      <c r="C25" s="238"/>
      <c r="D25" s="239"/>
      <c r="E25" s="279"/>
      <c r="F25" s="280"/>
      <c r="G25" s="280"/>
      <c r="H25" s="280"/>
      <c r="I25" s="281"/>
      <c r="J25" s="305"/>
      <c r="K25" s="306"/>
      <c r="L25" s="306"/>
      <c r="M25" s="306"/>
      <c r="N25" s="306"/>
      <c r="O25" s="307"/>
      <c r="P25" s="305"/>
      <c r="Q25" s="306"/>
      <c r="R25" s="306"/>
      <c r="S25" s="306"/>
      <c r="T25" s="306"/>
      <c r="U25" s="307"/>
      <c r="V25" s="305"/>
      <c r="W25" s="306"/>
      <c r="X25" s="306"/>
      <c r="Y25" s="306"/>
      <c r="Z25" s="306"/>
      <c r="AA25" s="307"/>
      <c r="AB25" s="289"/>
      <c r="AC25" s="285"/>
      <c r="AD25" s="285"/>
      <c r="AE25" s="285"/>
      <c r="AF25" s="285"/>
      <c r="AG25" s="286"/>
      <c r="AH25" s="296"/>
      <c r="AI25" s="297"/>
      <c r="AJ25" s="297"/>
      <c r="AK25" s="297"/>
      <c r="AL25" s="297"/>
      <c r="AM25" s="298"/>
      <c r="AN25" s="49"/>
      <c r="AO25" s="261"/>
      <c r="AP25" s="262"/>
      <c r="AQ25" s="262"/>
      <c r="AR25" s="262"/>
      <c r="AS25" s="262"/>
      <c r="AT25" s="263"/>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38"/>
      <c r="C26" s="238"/>
      <c r="D26" s="239"/>
      <c r="E26" s="279"/>
      <c r="F26" s="280"/>
      <c r="G26" s="280"/>
      <c r="H26" s="280"/>
      <c r="I26" s="281"/>
      <c r="J26" s="305" t="str">
        <f ca="1">IF(AND('Mapa final'!$H$33="Media",'Mapa final'!$L$33="Leve"),CONCATENATE("R",'Mapa final'!$A$33),"")</f>
        <v/>
      </c>
      <c r="K26" s="306"/>
      <c r="L26" s="306" t="str">
        <f ca="1">IF(AND('Mapa final'!$H$39="Media",'Mapa final'!$L$39="Leve"),CONCATENATE("R",'Mapa final'!$A$39),"")</f>
        <v/>
      </c>
      <c r="M26" s="306"/>
      <c r="N26" s="306" t="str">
        <f ca="1">IF(AND('Mapa final'!$H$45="Media",'Mapa final'!$L$45="Leve"),CONCATENATE("R",'Mapa final'!$A$45),"")</f>
        <v/>
      </c>
      <c r="O26" s="307"/>
      <c r="P26" s="305" t="str">
        <f ca="1">IF(AND('Mapa final'!$H$33="Media",'Mapa final'!$L$33="Menor"),CONCATENATE("R",'Mapa final'!$A$33),"")</f>
        <v/>
      </c>
      <c r="Q26" s="306"/>
      <c r="R26" s="306" t="str">
        <f ca="1">IF(AND('Mapa final'!$H$39="Media",'Mapa final'!$L$39="Menor"),CONCATENATE("R",'Mapa final'!$A$39),"")</f>
        <v/>
      </c>
      <c r="S26" s="306"/>
      <c r="T26" s="306" t="str">
        <f ca="1">IF(AND('Mapa final'!$H$45="Media",'Mapa final'!$L$45="Menor"),CONCATENATE("R",'Mapa final'!$A$45),"")</f>
        <v/>
      </c>
      <c r="U26" s="307"/>
      <c r="V26" s="305" t="str">
        <f ca="1">IF(AND('Mapa final'!$H$33="Media",'Mapa final'!$L$33="Moderado"),CONCATENATE("R",'Mapa final'!$A$33),"")</f>
        <v/>
      </c>
      <c r="W26" s="306"/>
      <c r="X26" s="306" t="str">
        <f ca="1">IF(AND('Mapa final'!$H$39="Media",'Mapa final'!$L$39="Moderado"),CONCATENATE("R",'Mapa final'!$A$39),"")</f>
        <v/>
      </c>
      <c r="Y26" s="306"/>
      <c r="Z26" s="306" t="str">
        <f ca="1">IF(AND('Mapa final'!$H$45="Media",'Mapa final'!$L$45="Moderado"),CONCATENATE("R",'Mapa final'!$A$45),"")</f>
        <v/>
      </c>
      <c r="AA26" s="307"/>
      <c r="AB26" s="289" t="str">
        <f ca="1">IF(AND('Mapa final'!$H$33="Media",'Mapa final'!$L$33="Mayor"),CONCATENATE("R",'Mapa final'!$A$33),"")</f>
        <v/>
      </c>
      <c r="AC26" s="285"/>
      <c r="AD26" s="285" t="str">
        <f ca="1">IF(AND('Mapa final'!$H$39="Media",'Mapa final'!$L$39="Mayor"),CONCATENATE("R",'Mapa final'!$A$39),"")</f>
        <v/>
      </c>
      <c r="AE26" s="285"/>
      <c r="AF26" s="285" t="str">
        <f ca="1">IF(AND('Mapa final'!$H$45="Media",'Mapa final'!$L$45="Mayor"),CONCATENATE("R",'Mapa final'!$A$45),"")</f>
        <v/>
      </c>
      <c r="AG26" s="286"/>
      <c r="AH26" s="296" t="str">
        <f ca="1">IF(AND('Mapa final'!$H$33="Media",'Mapa final'!$L$33="Catastrófico"),CONCATENATE("R",'Mapa final'!$A$33),"")</f>
        <v/>
      </c>
      <c r="AI26" s="297"/>
      <c r="AJ26" s="297" t="str">
        <f ca="1">IF(AND('Mapa final'!$H$39="Media",'Mapa final'!$L$39="Catastrófico"),CONCATENATE("R",'Mapa final'!$A$39),"")</f>
        <v/>
      </c>
      <c r="AK26" s="297"/>
      <c r="AL26" s="297" t="str">
        <f ca="1">IF(AND('Mapa final'!$H$45="Media",'Mapa final'!$L$45="Catastrófico"),CONCATENATE("R",'Mapa final'!$A$45),"")</f>
        <v/>
      </c>
      <c r="AM26" s="298"/>
      <c r="AN26" s="49"/>
      <c r="AO26" s="261"/>
      <c r="AP26" s="262"/>
      <c r="AQ26" s="262"/>
      <c r="AR26" s="262"/>
      <c r="AS26" s="262"/>
      <c r="AT26" s="263"/>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38"/>
      <c r="C27" s="238"/>
      <c r="D27" s="239"/>
      <c r="E27" s="279"/>
      <c r="F27" s="280"/>
      <c r="G27" s="280"/>
      <c r="H27" s="280"/>
      <c r="I27" s="281"/>
      <c r="J27" s="305"/>
      <c r="K27" s="306"/>
      <c r="L27" s="306"/>
      <c r="M27" s="306"/>
      <c r="N27" s="306"/>
      <c r="O27" s="307"/>
      <c r="P27" s="305"/>
      <c r="Q27" s="306"/>
      <c r="R27" s="306"/>
      <c r="S27" s="306"/>
      <c r="T27" s="306"/>
      <c r="U27" s="307"/>
      <c r="V27" s="305"/>
      <c r="W27" s="306"/>
      <c r="X27" s="306"/>
      <c r="Y27" s="306"/>
      <c r="Z27" s="306"/>
      <c r="AA27" s="307"/>
      <c r="AB27" s="289"/>
      <c r="AC27" s="285"/>
      <c r="AD27" s="285"/>
      <c r="AE27" s="285"/>
      <c r="AF27" s="285"/>
      <c r="AG27" s="286"/>
      <c r="AH27" s="296"/>
      <c r="AI27" s="297"/>
      <c r="AJ27" s="297"/>
      <c r="AK27" s="297"/>
      <c r="AL27" s="297"/>
      <c r="AM27" s="298"/>
      <c r="AN27" s="49"/>
      <c r="AO27" s="261"/>
      <c r="AP27" s="262"/>
      <c r="AQ27" s="262"/>
      <c r="AR27" s="262"/>
      <c r="AS27" s="262"/>
      <c r="AT27" s="263"/>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38"/>
      <c r="C28" s="238"/>
      <c r="D28" s="239"/>
      <c r="E28" s="279"/>
      <c r="F28" s="280"/>
      <c r="G28" s="280"/>
      <c r="H28" s="280"/>
      <c r="I28" s="281"/>
      <c r="J28" s="305" t="str">
        <f ca="1">IF(AND('Mapa final'!$H$51="Media",'Mapa final'!$L$51="Leve"),CONCATENATE("R",'Mapa final'!$A$51),"")</f>
        <v/>
      </c>
      <c r="K28" s="306"/>
      <c r="L28" s="306" t="str">
        <f>IF(AND('Mapa final'!$H$57="Media",'Mapa final'!$L$57="Leve"),CONCATENATE("R",'Mapa final'!$A$57),"")</f>
        <v/>
      </c>
      <c r="M28" s="306"/>
      <c r="N28" s="306" t="str">
        <f>IF(AND('Mapa final'!$H$63="Media",'Mapa final'!$L$63="Leve"),CONCATENATE("R",'Mapa final'!$A$63),"")</f>
        <v/>
      </c>
      <c r="O28" s="307"/>
      <c r="P28" s="305" t="str">
        <f ca="1">IF(AND('Mapa final'!$H$51="Media",'Mapa final'!$L$51="Menor"),CONCATENATE("R",'Mapa final'!$A$51),"")</f>
        <v/>
      </c>
      <c r="Q28" s="306"/>
      <c r="R28" s="306" t="str">
        <f>IF(AND('Mapa final'!$H$57="Media",'Mapa final'!$L$57="Menor"),CONCATENATE("R",'Mapa final'!$A$57),"")</f>
        <v/>
      </c>
      <c r="S28" s="306"/>
      <c r="T28" s="306" t="str">
        <f>IF(AND('Mapa final'!$H$63="Media",'Mapa final'!$L$63="Menor"),CONCATENATE("R",'Mapa final'!$A$63),"")</f>
        <v/>
      </c>
      <c r="U28" s="307"/>
      <c r="V28" s="305" t="str">
        <f ca="1">IF(AND('Mapa final'!$H$51="Media",'Mapa final'!$L$51="Moderado"),CONCATENATE("R",'Mapa final'!$A$51),"")</f>
        <v/>
      </c>
      <c r="W28" s="306"/>
      <c r="X28" s="306" t="str">
        <f>IF(AND('Mapa final'!$H$57="Media",'Mapa final'!$L$57="Moderado"),CONCATENATE("R",'Mapa final'!$A$57),"")</f>
        <v/>
      </c>
      <c r="Y28" s="306"/>
      <c r="Z28" s="306" t="str">
        <f>IF(AND('Mapa final'!$H$63="Media",'Mapa final'!$L$63="Moderado"),CONCATENATE("R",'Mapa final'!$A$63),"")</f>
        <v/>
      </c>
      <c r="AA28" s="307"/>
      <c r="AB28" s="289" t="str">
        <f ca="1">IF(AND('Mapa final'!$H$51="Media",'Mapa final'!$L$51="Mayor"),CONCATENATE("R",'Mapa final'!$A$51),"")</f>
        <v/>
      </c>
      <c r="AC28" s="285"/>
      <c r="AD28" s="285" t="str">
        <f>IF(AND('Mapa final'!$H$57="Media",'Mapa final'!$L$57="Mayor"),CONCATENATE("R",'Mapa final'!$A$57),"")</f>
        <v/>
      </c>
      <c r="AE28" s="285"/>
      <c r="AF28" s="285" t="str">
        <f>IF(AND('Mapa final'!$H$63="Media",'Mapa final'!$L$63="Mayor"),CONCATENATE("R",'Mapa final'!$A$63),"")</f>
        <v/>
      </c>
      <c r="AG28" s="286"/>
      <c r="AH28" s="296" t="str">
        <f ca="1">IF(AND('Mapa final'!$H$51="Media",'Mapa final'!$L$51="Catastrófico"),CONCATENATE("R",'Mapa final'!$A$51),"")</f>
        <v/>
      </c>
      <c r="AI28" s="297"/>
      <c r="AJ28" s="297" t="str">
        <f>IF(AND('Mapa final'!$H$57="Media",'Mapa final'!$L$57="Catastrófico"),CONCATENATE("R",'Mapa final'!$A$57),"")</f>
        <v/>
      </c>
      <c r="AK28" s="297"/>
      <c r="AL28" s="297" t="str">
        <f>IF(AND('Mapa final'!$H$63="Media",'Mapa final'!$L$63="Catastrófico"),CONCATENATE("R",'Mapa final'!$A$63),"")</f>
        <v/>
      </c>
      <c r="AM28" s="298"/>
      <c r="AN28" s="49"/>
      <c r="AO28" s="261"/>
      <c r="AP28" s="262"/>
      <c r="AQ28" s="262"/>
      <c r="AR28" s="262"/>
      <c r="AS28" s="262"/>
      <c r="AT28" s="263"/>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38"/>
      <c r="C29" s="238"/>
      <c r="D29" s="239"/>
      <c r="E29" s="282"/>
      <c r="F29" s="283"/>
      <c r="G29" s="283"/>
      <c r="H29" s="283"/>
      <c r="I29" s="284"/>
      <c r="J29" s="305"/>
      <c r="K29" s="306"/>
      <c r="L29" s="306"/>
      <c r="M29" s="306"/>
      <c r="N29" s="306"/>
      <c r="O29" s="307"/>
      <c r="P29" s="308"/>
      <c r="Q29" s="309"/>
      <c r="R29" s="309"/>
      <c r="S29" s="309"/>
      <c r="T29" s="309"/>
      <c r="U29" s="310"/>
      <c r="V29" s="308"/>
      <c r="W29" s="309"/>
      <c r="X29" s="309"/>
      <c r="Y29" s="309"/>
      <c r="Z29" s="309"/>
      <c r="AA29" s="310"/>
      <c r="AB29" s="293"/>
      <c r="AC29" s="294"/>
      <c r="AD29" s="294"/>
      <c r="AE29" s="294"/>
      <c r="AF29" s="294"/>
      <c r="AG29" s="295"/>
      <c r="AH29" s="299"/>
      <c r="AI29" s="300"/>
      <c r="AJ29" s="300"/>
      <c r="AK29" s="300"/>
      <c r="AL29" s="300"/>
      <c r="AM29" s="301"/>
      <c r="AN29" s="49"/>
      <c r="AO29" s="264"/>
      <c r="AP29" s="265"/>
      <c r="AQ29" s="265"/>
      <c r="AR29" s="265"/>
      <c r="AS29" s="265"/>
      <c r="AT29" s="266"/>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38"/>
      <c r="C30" s="238"/>
      <c r="D30" s="239"/>
      <c r="E30" s="276" t="s">
        <v>110</v>
      </c>
      <c r="F30" s="277"/>
      <c r="G30" s="277"/>
      <c r="H30" s="277"/>
      <c r="I30" s="277"/>
      <c r="J30" s="320" t="e">
        <f>IF(AND('Mapa final'!#REF!="Baja",'Mapa final'!#REF!="Leve"),CONCATENATE("R",'Mapa final'!#REF!),"")</f>
        <v>#REF!</v>
      </c>
      <c r="K30" s="321"/>
      <c r="L30" s="321" t="e">
        <f>IF(AND('Mapa final'!#REF!="Baja",'Mapa final'!#REF!="Leve"),CONCATENATE("R",'Mapa final'!#REF!),"")</f>
        <v>#REF!</v>
      </c>
      <c r="M30" s="321"/>
      <c r="N30" s="321" t="str">
        <f ca="1">IF(AND('Mapa final'!$H$9="Baja",'Mapa final'!$L$9="Leve"),CONCATENATE("R",'Mapa final'!$A$9),"")</f>
        <v/>
      </c>
      <c r="O30" s="322"/>
      <c r="P30" s="312" t="e">
        <f>IF(AND('Mapa final'!#REF!="Baja",'Mapa final'!#REF!="Menor"),CONCATENATE("R",'Mapa final'!#REF!),"")</f>
        <v>#REF!</v>
      </c>
      <c r="Q30" s="312"/>
      <c r="R30" s="312" t="e">
        <f>IF(AND('Mapa final'!#REF!="Baja",'Mapa final'!#REF!="Menor"),CONCATENATE("R",'Mapa final'!#REF!),"")</f>
        <v>#REF!</v>
      </c>
      <c r="S30" s="312"/>
      <c r="T30" s="312" t="str">
        <f ca="1">IF(AND('Mapa final'!$H$9="Baja",'Mapa final'!$L$9="Menor"),CONCATENATE("R",'Mapa final'!$A$9),"")</f>
        <v/>
      </c>
      <c r="U30" s="313"/>
      <c r="V30" s="311" t="e">
        <f>IF(AND('Mapa final'!#REF!="Baja",'Mapa final'!#REF!="Moderado"),CONCATENATE("R",'Mapa final'!#REF!),"")</f>
        <v>#REF!</v>
      </c>
      <c r="W30" s="312"/>
      <c r="X30" s="312" t="e">
        <f>IF(AND('Mapa final'!#REF!="Baja",'Mapa final'!#REF!="Moderado"),CONCATENATE("R",'Mapa final'!#REF!),"")</f>
        <v>#REF!</v>
      </c>
      <c r="Y30" s="312"/>
      <c r="Z30" s="312" t="str">
        <f ca="1">IF(AND('Mapa final'!$H$9="Baja",'Mapa final'!$L$9="Moderado"),CONCATENATE("R",'Mapa final'!$A$9),"")</f>
        <v/>
      </c>
      <c r="AA30" s="313"/>
      <c r="AB30" s="287" t="e">
        <f>IF(AND('Mapa final'!#REF!="Baja",'Mapa final'!#REF!="Mayor"),CONCATENATE("R",'Mapa final'!#REF!),"")</f>
        <v>#REF!</v>
      </c>
      <c r="AC30" s="288"/>
      <c r="AD30" s="288" t="e">
        <f>IF(AND('Mapa final'!#REF!="Baja",'Mapa final'!#REF!="Mayor"),CONCATENATE("R",'Mapa final'!#REF!),"")</f>
        <v>#REF!</v>
      </c>
      <c r="AE30" s="288"/>
      <c r="AF30" s="288" t="str">
        <f ca="1">IF(AND('Mapa final'!$H$9="Baja",'Mapa final'!$L$9="Mayor"),CONCATENATE("R",'Mapa final'!$A$9),"")</f>
        <v/>
      </c>
      <c r="AG30" s="290"/>
      <c r="AH30" s="302" t="e">
        <f>IF(AND('Mapa final'!#REF!="Baja",'Mapa final'!#REF!="Catastrófico"),CONCATENATE("R",'Mapa final'!#REF!),"")</f>
        <v>#REF!</v>
      </c>
      <c r="AI30" s="303"/>
      <c r="AJ30" s="303" t="e">
        <f>IF(AND('Mapa final'!#REF!="Baja",'Mapa final'!#REF!="Catastrófico"),CONCATENATE("R",'Mapa final'!#REF!),"")</f>
        <v>#REF!</v>
      </c>
      <c r="AK30" s="303"/>
      <c r="AL30" s="303" t="str">
        <f ca="1">IF(AND('Mapa final'!$H$9="Baja",'Mapa final'!$L$9="Catastrófico"),CONCATENATE("R",'Mapa final'!$A$9),"")</f>
        <v/>
      </c>
      <c r="AM30" s="304"/>
      <c r="AN30" s="49"/>
      <c r="AO30" s="267" t="s">
        <v>80</v>
      </c>
      <c r="AP30" s="268"/>
      <c r="AQ30" s="268"/>
      <c r="AR30" s="268"/>
      <c r="AS30" s="268"/>
      <c r="AT30" s="26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38"/>
      <c r="C31" s="238"/>
      <c r="D31" s="239"/>
      <c r="E31" s="279"/>
      <c r="F31" s="280"/>
      <c r="G31" s="280"/>
      <c r="H31" s="280"/>
      <c r="I31" s="280"/>
      <c r="J31" s="316"/>
      <c r="K31" s="314"/>
      <c r="L31" s="314"/>
      <c r="M31" s="314"/>
      <c r="N31" s="314"/>
      <c r="O31" s="315"/>
      <c r="P31" s="306"/>
      <c r="Q31" s="306"/>
      <c r="R31" s="306"/>
      <c r="S31" s="306"/>
      <c r="T31" s="306"/>
      <c r="U31" s="307"/>
      <c r="V31" s="305"/>
      <c r="W31" s="306"/>
      <c r="X31" s="306"/>
      <c r="Y31" s="306"/>
      <c r="Z31" s="306"/>
      <c r="AA31" s="307"/>
      <c r="AB31" s="289"/>
      <c r="AC31" s="285"/>
      <c r="AD31" s="285"/>
      <c r="AE31" s="285"/>
      <c r="AF31" s="285"/>
      <c r="AG31" s="286"/>
      <c r="AH31" s="296"/>
      <c r="AI31" s="297"/>
      <c r="AJ31" s="297"/>
      <c r="AK31" s="297"/>
      <c r="AL31" s="297"/>
      <c r="AM31" s="298"/>
      <c r="AN31" s="49"/>
      <c r="AO31" s="270"/>
      <c r="AP31" s="271"/>
      <c r="AQ31" s="271"/>
      <c r="AR31" s="271"/>
      <c r="AS31" s="271"/>
      <c r="AT31" s="272"/>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38"/>
      <c r="C32" s="238"/>
      <c r="D32" s="239"/>
      <c r="E32" s="279"/>
      <c r="F32" s="280"/>
      <c r="G32" s="280"/>
      <c r="H32" s="280"/>
      <c r="I32" s="280"/>
      <c r="J32" s="316" t="str">
        <f ca="1">IF(AND('Mapa final'!$H$15="Baja",'Mapa final'!$L$15="Leve"),CONCATENATE("R",'Mapa final'!$A$15),"")</f>
        <v/>
      </c>
      <c r="K32" s="314"/>
      <c r="L32" s="314" t="str">
        <f ca="1">IF(AND('Mapa final'!$H$21="Baja",'Mapa final'!$L$21="Leve"),CONCATENATE("R",'Mapa final'!$A$21),"")</f>
        <v/>
      </c>
      <c r="M32" s="314"/>
      <c r="N32" s="314" t="str">
        <f ca="1">IF(AND('Mapa final'!$H$27="Baja",'Mapa final'!$L$27="Leve"),CONCATENATE("R",'Mapa final'!$A$27),"")</f>
        <v/>
      </c>
      <c r="O32" s="315"/>
      <c r="P32" s="306" t="str">
        <f ca="1">IF(AND('Mapa final'!$H$15="Baja",'Mapa final'!$L$15="Menor"),CONCATENATE("R",'Mapa final'!$A$15),"")</f>
        <v/>
      </c>
      <c r="Q32" s="306"/>
      <c r="R32" s="306" t="str">
        <f ca="1">IF(AND('Mapa final'!$H$21="Baja",'Mapa final'!$L$21="Menor"),CONCATENATE("R",'Mapa final'!$A$21),"")</f>
        <v/>
      </c>
      <c r="S32" s="306"/>
      <c r="T32" s="306" t="str">
        <f ca="1">IF(AND('Mapa final'!$H$27="Baja",'Mapa final'!$L$27="Menor"),CONCATENATE("R",'Mapa final'!$A$27),"")</f>
        <v/>
      </c>
      <c r="U32" s="307"/>
      <c r="V32" s="305" t="str">
        <f ca="1">IF(AND('Mapa final'!$H$15="Baja",'Mapa final'!$L$15="Moderado"),CONCATENATE("R",'Mapa final'!$A$15),"")</f>
        <v/>
      </c>
      <c r="W32" s="306"/>
      <c r="X32" s="306" t="str">
        <f ca="1">IF(AND('Mapa final'!$H$21="Baja",'Mapa final'!$L$21="Moderado"),CONCATENATE("R",'Mapa final'!$A$21),"")</f>
        <v/>
      </c>
      <c r="Y32" s="306"/>
      <c r="Z32" s="306" t="str">
        <f ca="1">IF(AND('Mapa final'!$H$27="Baja",'Mapa final'!$L$27="Moderado"),CONCATENATE("R",'Mapa final'!$A$27),"")</f>
        <v/>
      </c>
      <c r="AA32" s="307"/>
      <c r="AB32" s="289" t="str">
        <f ca="1">IF(AND('Mapa final'!$H$15="Baja",'Mapa final'!$L$15="Mayor"),CONCATENATE("R",'Mapa final'!$A$15),"")</f>
        <v/>
      </c>
      <c r="AC32" s="285"/>
      <c r="AD32" s="285" t="str">
        <f ca="1">IF(AND('Mapa final'!$H$21="Baja",'Mapa final'!$L$21="Mayor"),CONCATENATE("R",'Mapa final'!$A$21),"")</f>
        <v/>
      </c>
      <c r="AE32" s="285"/>
      <c r="AF32" s="285" t="str">
        <f ca="1">IF(AND('Mapa final'!$H$27="Baja",'Mapa final'!$L$27="Mayor"),CONCATENATE("R",'Mapa final'!$A$27),"")</f>
        <v/>
      </c>
      <c r="AG32" s="286"/>
      <c r="AH32" s="296" t="str">
        <f ca="1">IF(AND('Mapa final'!$H$15="Baja",'Mapa final'!$L$15="Catastrófico"),CONCATENATE("R",'Mapa final'!$A$15),"")</f>
        <v/>
      </c>
      <c r="AI32" s="297"/>
      <c r="AJ32" s="297" t="str">
        <f ca="1">IF(AND('Mapa final'!$H$21="Baja",'Mapa final'!$L$21="Catastrófico"),CONCATENATE("R",'Mapa final'!$A$21),"")</f>
        <v/>
      </c>
      <c r="AK32" s="297"/>
      <c r="AL32" s="297" t="str">
        <f ca="1">IF(AND('Mapa final'!$H$27="Baja",'Mapa final'!$L$27="Catastrófico"),CONCATENATE("R",'Mapa final'!$A$27),"")</f>
        <v/>
      </c>
      <c r="AM32" s="298"/>
      <c r="AN32" s="49"/>
      <c r="AO32" s="270"/>
      <c r="AP32" s="271"/>
      <c r="AQ32" s="271"/>
      <c r="AR32" s="271"/>
      <c r="AS32" s="271"/>
      <c r="AT32" s="272"/>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38"/>
      <c r="C33" s="238"/>
      <c r="D33" s="239"/>
      <c r="E33" s="279"/>
      <c r="F33" s="280"/>
      <c r="G33" s="280"/>
      <c r="H33" s="280"/>
      <c r="I33" s="280"/>
      <c r="J33" s="316"/>
      <c r="K33" s="314"/>
      <c r="L33" s="314"/>
      <c r="M33" s="314"/>
      <c r="N33" s="314"/>
      <c r="O33" s="315"/>
      <c r="P33" s="306"/>
      <c r="Q33" s="306"/>
      <c r="R33" s="306"/>
      <c r="S33" s="306"/>
      <c r="T33" s="306"/>
      <c r="U33" s="307"/>
      <c r="V33" s="305"/>
      <c r="W33" s="306"/>
      <c r="X33" s="306"/>
      <c r="Y33" s="306"/>
      <c r="Z33" s="306"/>
      <c r="AA33" s="307"/>
      <c r="AB33" s="289"/>
      <c r="AC33" s="285"/>
      <c r="AD33" s="285"/>
      <c r="AE33" s="285"/>
      <c r="AF33" s="285"/>
      <c r="AG33" s="286"/>
      <c r="AH33" s="296"/>
      <c r="AI33" s="297"/>
      <c r="AJ33" s="297"/>
      <c r="AK33" s="297"/>
      <c r="AL33" s="297"/>
      <c r="AM33" s="298"/>
      <c r="AN33" s="49"/>
      <c r="AO33" s="270"/>
      <c r="AP33" s="271"/>
      <c r="AQ33" s="271"/>
      <c r="AR33" s="271"/>
      <c r="AS33" s="271"/>
      <c r="AT33" s="272"/>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38"/>
      <c r="C34" s="238"/>
      <c r="D34" s="239"/>
      <c r="E34" s="279"/>
      <c r="F34" s="280"/>
      <c r="G34" s="280"/>
      <c r="H34" s="280"/>
      <c r="I34" s="280"/>
      <c r="J34" s="316" t="str">
        <f ca="1">IF(AND('Mapa final'!$H$33="Baja",'Mapa final'!$L$33="Leve"),CONCATENATE("R",'Mapa final'!$A$33),"")</f>
        <v/>
      </c>
      <c r="K34" s="314"/>
      <c r="L34" s="314" t="str">
        <f ca="1">IF(AND('Mapa final'!$H$39="Baja",'Mapa final'!$L$39="Leve"),CONCATENATE("R",'Mapa final'!$A$39),"")</f>
        <v/>
      </c>
      <c r="M34" s="314"/>
      <c r="N34" s="314" t="str">
        <f ca="1">IF(AND('Mapa final'!$H$45="Baja",'Mapa final'!$L$45="Leve"),CONCATENATE("R",'Mapa final'!$A$45),"")</f>
        <v/>
      </c>
      <c r="O34" s="315"/>
      <c r="P34" s="306" t="str">
        <f ca="1">IF(AND('Mapa final'!$H$33="Baja",'Mapa final'!$L$33="Menor"),CONCATENATE("R",'Mapa final'!$A$33),"")</f>
        <v/>
      </c>
      <c r="Q34" s="306"/>
      <c r="R34" s="306" t="str">
        <f ca="1">IF(AND('Mapa final'!$H$39="Baja",'Mapa final'!$L$39="Menor"),CONCATENATE("R",'Mapa final'!$A$39),"")</f>
        <v/>
      </c>
      <c r="S34" s="306"/>
      <c r="T34" s="306" t="str">
        <f ca="1">IF(AND('Mapa final'!$H$45="Baja",'Mapa final'!$L$45="Menor"),CONCATENATE("R",'Mapa final'!$A$45),"")</f>
        <v/>
      </c>
      <c r="U34" s="307"/>
      <c r="V34" s="305" t="str">
        <f ca="1">IF(AND('Mapa final'!$H$33="Baja",'Mapa final'!$L$33="Moderado"),CONCATENATE("R",'Mapa final'!$A$33),"")</f>
        <v/>
      </c>
      <c r="W34" s="306"/>
      <c r="X34" s="306" t="str">
        <f ca="1">IF(AND('Mapa final'!$H$39="Baja",'Mapa final'!$L$39="Moderado"),CONCATENATE("R",'Mapa final'!$A$39),"")</f>
        <v/>
      </c>
      <c r="Y34" s="306"/>
      <c r="Z34" s="306" t="str">
        <f ca="1">IF(AND('Mapa final'!$H$45="Baja",'Mapa final'!$L$45="Moderado"),CONCATENATE("R",'Mapa final'!$A$45),"")</f>
        <v/>
      </c>
      <c r="AA34" s="307"/>
      <c r="AB34" s="289" t="str">
        <f ca="1">IF(AND('Mapa final'!$H$33="Baja",'Mapa final'!$L$33="Mayor"),CONCATENATE("R",'Mapa final'!$A$33),"")</f>
        <v/>
      </c>
      <c r="AC34" s="285"/>
      <c r="AD34" s="285" t="str">
        <f ca="1">IF(AND('Mapa final'!$H$39="Baja",'Mapa final'!$L$39="Mayor"),CONCATENATE("R",'Mapa final'!$A$39),"")</f>
        <v/>
      </c>
      <c r="AE34" s="285"/>
      <c r="AF34" s="285" t="str">
        <f ca="1">IF(AND('Mapa final'!$H$45="Baja",'Mapa final'!$L$45="Mayor"),CONCATENATE("R",'Mapa final'!$A$45),"")</f>
        <v/>
      </c>
      <c r="AG34" s="286"/>
      <c r="AH34" s="296" t="str">
        <f ca="1">IF(AND('Mapa final'!$H$33="Baja",'Mapa final'!$L$33="Catastrófico"),CONCATENATE("R",'Mapa final'!$A$33),"")</f>
        <v/>
      </c>
      <c r="AI34" s="297"/>
      <c r="AJ34" s="297" t="str">
        <f ca="1">IF(AND('Mapa final'!$H$39="Baja",'Mapa final'!$L$39="Catastrófico"),CONCATENATE("R",'Mapa final'!$A$39),"")</f>
        <v/>
      </c>
      <c r="AK34" s="297"/>
      <c r="AL34" s="297" t="str">
        <f ca="1">IF(AND('Mapa final'!$H$45="Baja",'Mapa final'!$L$45="Catastrófico"),CONCATENATE("R",'Mapa final'!$A$45),"")</f>
        <v/>
      </c>
      <c r="AM34" s="298"/>
      <c r="AN34" s="49"/>
      <c r="AO34" s="270"/>
      <c r="AP34" s="271"/>
      <c r="AQ34" s="271"/>
      <c r="AR34" s="271"/>
      <c r="AS34" s="271"/>
      <c r="AT34" s="272"/>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38"/>
      <c r="C35" s="238"/>
      <c r="D35" s="239"/>
      <c r="E35" s="279"/>
      <c r="F35" s="280"/>
      <c r="G35" s="280"/>
      <c r="H35" s="280"/>
      <c r="I35" s="280"/>
      <c r="J35" s="316"/>
      <c r="K35" s="314"/>
      <c r="L35" s="314"/>
      <c r="M35" s="314"/>
      <c r="N35" s="314"/>
      <c r="O35" s="315"/>
      <c r="P35" s="306"/>
      <c r="Q35" s="306"/>
      <c r="R35" s="306"/>
      <c r="S35" s="306"/>
      <c r="T35" s="306"/>
      <c r="U35" s="307"/>
      <c r="V35" s="305"/>
      <c r="W35" s="306"/>
      <c r="X35" s="306"/>
      <c r="Y35" s="306"/>
      <c r="Z35" s="306"/>
      <c r="AA35" s="307"/>
      <c r="AB35" s="289"/>
      <c r="AC35" s="285"/>
      <c r="AD35" s="285"/>
      <c r="AE35" s="285"/>
      <c r="AF35" s="285"/>
      <c r="AG35" s="286"/>
      <c r="AH35" s="296"/>
      <c r="AI35" s="297"/>
      <c r="AJ35" s="297"/>
      <c r="AK35" s="297"/>
      <c r="AL35" s="297"/>
      <c r="AM35" s="298"/>
      <c r="AN35" s="49"/>
      <c r="AO35" s="270"/>
      <c r="AP35" s="271"/>
      <c r="AQ35" s="271"/>
      <c r="AR35" s="271"/>
      <c r="AS35" s="271"/>
      <c r="AT35" s="272"/>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38"/>
      <c r="C36" s="238"/>
      <c r="D36" s="239"/>
      <c r="E36" s="279"/>
      <c r="F36" s="280"/>
      <c r="G36" s="280"/>
      <c r="H36" s="280"/>
      <c r="I36" s="280"/>
      <c r="J36" s="316" t="str">
        <f ca="1">IF(AND('Mapa final'!$H$51="Baja",'Mapa final'!$L$51="Leve"),CONCATENATE("R",'Mapa final'!$A$51),"")</f>
        <v/>
      </c>
      <c r="K36" s="314"/>
      <c r="L36" s="314" t="str">
        <f>IF(AND('Mapa final'!$H$57="Baja",'Mapa final'!$L$57="Leve"),CONCATENATE("R",'Mapa final'!$A$57),"")</f>
        <v/>
      </c>
      <c r="M36" s="314"/>
      <c r="N36" s="314" t="str">
        <f>IF(AND('Mapa final'!$H$63="Baja",'Mapa final'!$L$63="Leve"),CONCATENATE("R",'Mapa final'!$A$63),"")</f>
        <v/>
      </c>
      <c r="O36" s="315"/>
      <c r="P36" s="306" t="str">
        <f ca="1">IF(AND('Mapa final'!$H$51="Baja",'Mapa final'!$L$51="Menor"),CONCATENATE("R",'Mapa final'!$A$51),"")</f>
        <v/>
      </c>
      <c r="Q36" s="306"/>
      <c r="R36" s="306" t="str">
        <f>IF(AND('Mapa final'!$H$57="Baja",'Mapa final'!$L$57="Menor"),CONCATENATE("R",'Mapa final'!$A$57),"")</f>
        <v/>
      </c>
      <c r="S36" s="306"/>
      <c r="T36" s="306" t="str">
        <f>IF(AND('Mapa final'!$H$63="Baja",'Mapa final'!$L$63="Menor"),CONCATENATE("R",'Mapa final'!$A$63),"")</f>
        <v/>
      </c>
      <c r="U36" s="307"/>
      <c r="V36" s="305" t="str">
        <f ca="1">IF(AND('Mapa final'!$H$51="Baja",'Mapa final'!$L$51="Moderado"),CONCATENATE("R",'Mapa final'!$A$51),"")</f>
        <v/>
      </c>
      <c r="W36" s="306"/>
      <c r="X36" s="306" t="str">
        <f>IF(AND('Mapa final'!$H$57="Baja",'Mapa final'!$L$57="Moderado"),CONCATENATE("R",'Mapa final'!$A$57),"")</f>
        <v/>
      </c>
      <c r="Y36" s="306"/>
      <c r="Z36" s="306" t="str">
        <f>IF(AND('Mapa final'!$H$63="Baja",'Mapa final'!$L$63="Moderado"),CONCATENATE("R",'Mapa final'!$A$63),"")</f>
        <v/>
      </c>
      <c r="AA36" s="307"/>
      <c r="AB36" s="289" t="str">
        <f ca="1">IF(AND('Mapa final'!$H$51="Baja",'Mapa final'!$L$51="Mayor"),CONCATENATE("R",'Mapa final'!$A$51),"")</f>
        <v/>
      </c>
      <c r="AC36" s="285"/>
      <c r="AD36" s="285" t="str">
        <f>IF(AND('Mapa final'!$H$57="Baja",'Mapa final'!$L$57="Mayor"),CONCATENATE("R",'Mapa final'!$A$57),"")</f>
        <v/>
      </c>
      <c r="AE36" s="285"/>
      <c r="AF36" s="285" t="str">
        <f>IF(AND('Mapa final'!$H$63="Baja",'Mapa final'!$L$63="Mayor"),CONCATENATE("R",'Mapa final'!$A$63),"")</f>
        <v/>
      </c>
      <c r="AG36" s="286"/>
      <c r="AH36" s="296" t="str">
        <f ca="1">IF(AND('Mapa final'!$H$51="Baja",'Mapa final'!$L$51="Catastrófico"),CONCATENATE("R",'Mapa final'!$A$51),"")</f>
        <v/>
      </c>
      <c r="AI36" s="297"/>
      <c r="AJ36" s="297" t="str">
        <f>IF(AND('Mapa final'!$H$57="Baja",'Mapa final'!$L$57="Catastrófico"),CONCATENATE("R",'Mapa final'!$A$57),"")</f>
        <v/>
      </c>
      <c r="AK36" s="297"/>
      <c r="AL36" s="297" t="str">
        <f>IF(AND('Mapa final'!$H$63="Baja",'Mapa final'!$L$63="Catastrófico"),CONCATENATE("R",'Mapa final'!$A$63),"")</f>
        <v/>
      </c>
      <c r="AM36" s="298"/>
      <c r="AN36" s="49"/>
      <c r="AO36" s="270"/>
      <c r="AP36" s="271"/>
      <c r="AQ36" s="271"/>
      <c r="AR36" s="271"/>
      <c r="AS36" s="271"/>
      <c r="AT36" s="272"/>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38"/>
      <c r="C37" s="238"/>
      <c r="D37" s="239"/>
      <c r="E37" s="282"/>
      <c r="F37" s="283"/>
      <c r="G37" s="283"/>
      <c r="H37" s="283"/>
      <c r="I37" s="283"/>
      <c r="J37" s="317"/>
      <c r="K37" s="318"/>
      <c r="L37" s="318"/>
      <c r="M37" s="318"/>
      <c r="N37" s="318"/>
      <c r="O37" s="319"/>
      <c r="P37" s="309"/>
      <c r="Q37" s="309"/>
      <c r="R37" s="309"/>
      <c r="S37" s="309"/>
      <c r="T37" s="309"/>
      <c r="U37" s="310"/>
      <c r="V37" s="308"/>
      <c r="W37" s="309"/>
      <c r="X37" s="309"/>
      <c r="Y37" s="309"/>
      <c r="Z37" s="309"/>
      <c r="AA37" s="310"/>
      <c r="AB37" s="293"/>
      <c r="AC37" s="294"/>
      <c r="AD37" s="294"/>
      <c r="AE37" s="294"/>
      <c r="AF37" s="294"/>
      <c r="AG37" s="295"/>
      <c r="AH37" s="299"/>
      <c r="AI37" s="300"/>
      <c r="AJ37" s="300"/>
      <c r="AK37" s="300"/>
      <c r="AL37" s="300"/>
      <c r="AM37" s="301"/>
      <c r="AN37" s="49"/>
      <c r="AO37" s="273"/>
      <c r="AP37" s="274"/>
      <c r="AQ37" s="274"/>
      <c r="AR37" s="274"/>
      <c r="AS37" s="274"/>
      <c r="AT37" s="275"/>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38"/>
      <c r="C38" s="238"/>
      <c r="D38" s="239"/>
      <c r="E38" s="276" t="s">
        <v>109</v>
      </c>
      <c r="F38" s="277"/>
      <c r="G38" s="277"/>
      <c r="H38" s="277"/>
      <c r="I38" s="278"/>
      <c r="J38" s="320" t="e">
        <f>IF(AND('Mapa final'!#REF!="Muy Baja",'Mapa final'!#REF!="Leve"),CONCATENATE("R",'Mapa final'!#REF!),"")</f>
        <v>#REF!</v>
      </c>
      <c r="K38" s="321"/>
      <c r="L38" s="321" t="e">
        <f>IF(AND('Mapa final'!#REF!="Muy Baja",'Mapa final'!#REF!="Leve"),CONCATENATE("R",'Mapa final'!#REF!),"")</f>
        <v>#REF!</v>
      </c>
      <c r="M38" s="321"/>
      <c r="N38" s="321" t="str">
        <f ca="1">IF(AND('Mapa final'!$H$9="Muy Baja",'Mapa final'!$L$9="Leve"),CONCATENATE("R",'Mapa final'!$A$9),"")</f>
        <v/>
      </c>
      <c r="O38" s="322"/>
      <c r="P38" s="320" t="e">
        <f>IF(AND('Mapa final'!#REF!="Muy Baja",'Mapa final'!#REF!="Menor"),CONCATENATE("R",'Mapa final'!#REF!),"")</f>
        <v>#REF!</v>
      </c>
      <c r="Q38" s="321"/>
      <c r="R38" s="321" t="e">
        <f>IF(AND('Mapa final'!#REF!="Muy Baja",'Mapa final'!#REF!="Menor"),CONCATENATE("R",'Mapa final'!#REF!),"")</f>
        <v>#REF!</v>
      </c>
      <c r="S38" s="321"/>
      <c r="T38" s="321" t="str">
        <f ca="1">IF(AND('Mapa final'!$H$9="Muy Baja",'Mapa final'!$L$9="Menor"),CONCATENATE("R",'Mapa final'!$A$9),"")</f>
        <v/>
      </c>
      <c r="U38" s="322"/>
      <c r="V38" s="311" t="e">
        <f>IF(AND('Mapa final'!#REF!="Muy Baja",'Mapa final'!#REF!="Moderado"),CONCATENATE("R",'Mapa final'!#REF!),"")</f>
        <v>#REF!</v>
      </c>
      <c r="W38" s="312"/>
      <c r="X38" s="312" t="e">
        <f>IF(AND('Mapa final'!#REF!="Muy Baja",'Mapa final'!#REF!="Moderado"),CONCATENATE("R",'Mapa final'!#REF!),"")</f>
        <v>#REF!</v>
      </c>
      <c r="Y38" s="312"/>
      <c r="Z38" s="312" t="str">
        <f ca="1">IF(AND('Mapa final'!$H$9="Muy Baja",'Mapa final'!$L$9="Moderado"),CONCATENATE("R",'Mapa final'!$A$9),"")</f>
        <v/>
      </c>
      <c r="AA38" s="313"/>
      <c r="AB38" s="287" t="e">
        <f>IF(AND('Mapa final'!#REF!="Muy Baja",'Mapa final'!#REF!="Mayor"),CONCATENATE("R",'Mapa final'!#REF!),"")</f>
        <v>#REF!</v>
      </c>
      <c r="AC38" s="288"/>
      <c r="AD38" s="288" t="e">
        <f>IF(AND('Mapa final'!#REF!="Muy Baja",'Mapa final'!#REF!="Mayor"),CONCATENATE("R",'Mapa final'!#REF!),"")</f>
        <v>#REF!</v>
      </c>
      <c r="AE38" s="288"/>
      <c r="AF38" s="288" t="str">
        <f ca="1">IF(AND('Mapa final'!$H$9="Muy Baja",'Mapa final'!$L$9="Mayor"),CONCATENATE("R",'Mapa final'!$A$9),"")</f>
        <v/>
      </c>
      <c r="AG38" s="290"/>
      <c r="AH38" s="302" t="e">
        <f>IF(AND('Mapa final'!#REF!="Muy Baja",'Mapa final'!#REF!="Catastrófico"),CONCATENATE("R",'Mapa final'!#REF!),"")</f>
        <v>#REF!</v>
      </c>
      <c r="AI38" s="303"/>
      <c r="AJ38" s="303" t="e">
        <f>IF(AND('Mapa final'!#REF!="Muy Baja",'Mapa final'!#REF!="Catastrófico"),CONCATENATE("R",'Mapa final'!#REF!),"")</f>
        <v>#REF!</v>
      </c>
      <c r="AK38" s="303"/>
      <c r="AL38" s="303" t="str">
        <f ca="1">IF(AND('Mapa final'!$H$9="Muy Baja",'Mapa final'!$L$9="Catastrófico"),CONCATENATE("R",'Mapa final'!$A$9),"")</f>
        <v/>
      </c>
      <c r="AM38" s="304"/>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38"/>
      <c r="C39" s="238"/>
      <c r="D39" s="239"/>
      <c r="E39" s="279"/>
      <c r="F39" s="280"/>
      <c r="G39" s="280"/>
      <c r="H39" s="280"/>
      <c r="I39" s="281"/>
      <c r="J39" s="316"/>
      <c r="K39" s="314"/>
      <c r="L39" s="314"/>
      <c r="M39" s="314"/>
      <c r="N39" s="314"/>
      <c r="O39" s="315"/>
      <c r="P39" s="316"/>
      <c r="Q39" s="314"/>
      <c r="R39" s="314"/>
      <c r="S39" s="314"/>
      <c r="T39" s="314"/>
      <c r="U39" s="315"/>
      <c r="V39" s="305"/>
      <c r="W39" s="306"/>
      <c r="X39" s="306"/>
      <c r="Y39" s="306"/>
      <c r="Z39" s="306"/>
      <c r="AA39" s="307"/>
      <c r="AB39" s="289"/>
      <c r="AC39" s="285"/>
      <c r="AD39" s="285"/>
      <c r="AE39" s="285"/>
      <c r="AF39" s="285"/>
      <c r="AG39" s="286"/>
      <c r="AH39" s="296"/>
      <c r="AI39" s="297"/>
      <c r="AJ39" s="297"/>
      <c r="AK39" s="297"/>
      <c r="AL39" s="297"/>
      <c r="AM39" s="298"/>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38"/>
      <c r="C40" s="238"/>
      <c r="D40" s="239"/>
      <c r="E40" s="279"/>
      <c r="F40" s="280"/>
      <c r="G40" s="280"/>
      <c r="H40" s="280"/>
      <c r="I40" s="281"/>
      <c r="J40" s="316" t="str">
        <f ca="1">IF(AND('Mapa final'!$H$15="Muy Baja",'Mapa final'!$L$15="Leve"),CONCATENATE("R",'Mapa final'!$A$15),"")</f>
        <v/>
      </c>
      <c r="K40" s="314"/>
      <c r="L40" s="314" t="str">
        <f ca="1">IF(AND('Mapa final'!$H$21="Muy Baja",'Mapa final'!$L$21="Leve"),CONCATENATE("R",'Mapa final'!$A$21),"")</f>
        <v/>
      </c>
      <c r="M40" s="314"/>
      <c r="N40" s="314" t="str">
        <f ca="1">IF(AND('Mapa final'!$H$27="Muy Baja",'Mapa final'!$L$27="Leve"),CONCATENATE("R",'Mapa final'!$A$27),"")</f>
        <v/>
      </c>
      <c r="O40" s="315"/>
      <c r="P40" s="316" t="str">
        <f ca="1">IF(AND('Mapa final'!$H$15="Muy Baja",'Mapa final'!$L$15="Menor"),CONCATENATE("R",'Mapa final'!$A$15),"")</f>
        <v/>
      </c>
      <c r="Q40" s="314"/>
      <c r="R40" s="314" t="str">
        <f ca="1">IF(AND('Mapa final'!$H$21="Muy Baja",'Mapa final'!$L$21="Menor"),CONCATENATE("R",'Mapa final'!$A$21),"")</f>
        <v/>
      </c>
      <c r="S40" s="314"/>
      <c r="T40" s="314" t="str">
        <f ca="1">IF(AND('Mapa final'!$H$27="Muy Baja",'Mapa final'!$L$27="Menor"),CONCATENATE("R",'Mapa final'!$A$27),"")</f>
        <v/>
      </c>
      <c r="U40" s="315"/>
      <c r="V40" s="305" t="str">
        <f ca="1">IF(AND('Mapa final'!$H$15="Muy Baja",'Mapa final'!$L$15="Moderado"),CONCATENATE("R",'Mapa final'!$A$15),"")</f>
        <v/>
      </c>
      <c r="W40" s="306"/>
      <c r="X40" s="306" t="str">
        <f ca="1">IF(AND('Mapa final'!$H$21="Muy Baja",'Mapa final'!$L$21="Moderado"),CONCATENATE("R",'Mapa final'!$A$21),"")</f>
        <v/>
      </c>
      <c r="Y40" s="306"/>
      <c r="Z40" s="306" t="str">
        <f ca="1">IF(AND('Mapa final'!$H$27="Muy Baja",'Mapa final'!$L$27="Moderado"),CONCATENATE("R",'Mapa final'!$A$27),"")</f>
        <v/>
      </c>
      <c r="AA40" s="307"/>
      <c r="AB40" s="289" t="str">
        <f ca="1">IF(AND('Mapa final'!$H$15="Muy Baja",'Mapa final'!$L$15="Mayor"),CONCATENATE("R",'Mapa final'!$A$15),"")</f>
        <v/>
      </c>
      <c r="AC40" s="285"/>
      <c r="AD40" s="285" t="str">
        <f ca="1">IF(AND('Mapa final'!$H$21="Muy Baja",'Mapa final'!$L$21="Mayor"),CONCATENATE("R",'Mapa final'!$A$21),"")</f>
        <v/>
      </c>
      <c r="AE40" s="285"/>
      <c r="AF40" s="285" t="str">
        <f ca="1">IF(AND('Mapa final'!$H$27="Muy Baja",'Mapa final'!$L$27="Mayor"),CONCATENATE("R",'Mapa final'!$A$27),"")</f>
        <v/>
      </c>
      <c r="AG40" s="286"/>
      <c r="AH40" s="296" t="str">
        <f ca="1">IF(AND('Mapa final'!$H$15="Muy Baja",'Mapa final'!$L$15="Catastrófico"),CONCATENATE("R",'Mapa final'!$A$15),"")</f>
        <v/>
      </c>
      <c r="AI40" s="297"/>
      <c r="AJ40" s="297" t="str">
        <f ca="1">IF(AND('Mapa final'!$H$21="Muy Baja",'Mapa final'!$L$21="Catastrófico"),CONCATENATE("R",'Mapa final'!$A$21),"")</f>
        <v/>
      </c>
      <c r="AK40" s="297"/>
      <c r="AL40" s="297" t="str">
        <f ca="1">IF(AND('Mapa final'!$H$27="Muy Baja",'Mapa final'!$L$27="Catastrófico"),CONCATENATE("R",'Mapa final'!$A$27),"")</f>
        <v/>
      </c>
      <c r="AM40" s="298"/>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38"/>
      <c r="C41" s="238"/>
      <c r="D41" s="239"/>
      <c r="E41" s="279"/>
      <c r="F41" s="280"/>
      <c r="G41" s="280"/>
      <c r="H41" s="280"/>
      <c r="I41" s="281"/>
      <c r="J41" s="316"/>
      <c r="K41" s="314"/>
      <c r="L41" s="314"/>
      <c r="M41" s="314"/>
      <c r="N41" s="314"/>
      <c r="O41" s="315"/>
      <c r="P41" s="316"/>
      <c r="Q41" s="314"/>
      <c r="R41" s="314"/>
      <c r="S41" s="314"/>
      <c r="T41" s="314"/>
      <c r="U41" s="315"/>
      <c r="V41" s="305"/>
      <c r="W41" s="306"/>
      <c r="X41" s="306"/>
      <c r="Y41" s="306"/>
      <c r="Z41" s="306"/>
      <c r="AA41" s="307"/>
      <c r="AB41" s="289"/>
      <c r="AC41" s="285"/>
      <c r="AD41" s="285"/>
      <c r="AE41" s="285"/>
      <c r="AF41" s="285"/>
      <c r="AG41" s="286"/>
      <c r="AH41" s="296"/>
      <c r="AI41" s="297"/>
      <c r="AJ41" s="297"/>
      <c r="AK41" s="297"/>
      <c r="AL41" s="297"/>
      <c r="AM41" s="298"/>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38"/>
      <c r="C42" s="238"/>
      <c r="D42" s="239"/>
      <c r="E42" s="279"/>
      <c r="F42" s="280"/>
      <c r="G42" s="280"/>
      <c r="H42" s="280"/>
      <c r="I42" s="281"/>
      <c r="J42" s="316" t="str">
        <f ca="1">IF(AND('Mapa final'!$H$33="Muy Baja",'Mapa final'!$L$33="Leve"),CONCATENATE("R",'Mapa final'!$A$33),"")</f>
        <v/>
      </c>
      <c r="K42" s="314"/>
      <c r="L42" s="314" t="str">
        <f ca="1">IF(AND('Mapa final'!$H$39="Muy Baja",'Mapa final'!$L$39="Leve"),CONCATENATE("R",'Mapa final'!$A$39),"")</f>
        <v/>
      </c>
      <c r="M42" s="314"/>
      <c r="N42" s="314" t="str">
        <f ca="1">IF(AND('Mapa final'!$H$45="Muy Baja",'Mapa final'!$L$45="Leve"),CONCATENATE("R",'Mapa final'!$A$45),"")</f>
        <v/>
      </c>
      <c r="O42" s="315"/>
      <c r="P42" s="316" t="str">
        <f ca="1">IF(AND('Mapa final'!$H$33="Muy Baja",'Mapa final'!$L$33="Menor"),CONCATENATE("R",'Mapa final'!$A$33),"")</f>
        <v/>
      </c>
      <c r="Q42" s="314"/>
      <c r="R42" s="314" t="str">
        <f ca="1">IF(AND('Mapa final'!$H$39="Muy Baja",'Mapa final'!$L$39="Menor"),CONCATENATE("R",'Mapa final'!$A$39),"")</f>
        <v/>
      </c>
      <c r="S42" s="314"/>
      <c r="T42" s="314" t="str">
        <f ca="1">IF(AND('Mapa final'!$H$45="Muy Baja",'Mapa final'!$L$45="Menor"),CONCATENATE("R",'Mapa final'!$A$45),"")</f>
        <v/>
      </c>
      <c r="U42" s="315"/>
      <c r="V42" s="305" t="str">
        <f ca="1">IF(AND('Mapa final'!$H$33="Muy Baja",'Mapa final'!$L$33="Moderado"),CONCATENATE("R",'Mapa final'!$A$33),"")</f>
        <v/>
      </c>
      <c r="W42" s="306"/>
      <c r="X42" s="306" t="str">
        <f ca="1">IF(AND('Mapa final'!$H$39="Muy Baja",'Mapa final'!$L$39="Moderado"),CONCATENATE("R",'Mapa final'!$A$39),"")</f>
        <v/>
      </c>
      <c r="Y42" s="306"/>
      <c r="Z42" s="306" t="str">
        <f ca="1">IF(AND('Mapa final'!$H$45="Muy Baja",'Mapa final'!$L$45="Moderado"),CONCATENATE("R",'Mapa final'!$A$45),"")</f>
        <v/>
      </c>
      <c r="AA42" s="307"/>
      <c r="AB42" s="289" t="str">
        <f ca="1">IF(AND('Mapa final'!$H$33="Muy Baja",'Mapa final'!$L$33="Mayor"),CONCATENATE("R",'Mapa final'!$A$33),"")</f>
        <v/>
      </c>
      <c r="AC42" s="285"/>
      <c r="AD42" s="285" t="str">
        <f ca="1">IF(AND('Mapa final'!$H$39="Muy Baja",'Mapa final'!$L$39="Mayor"),CONCATENATE("R",'Mapa final'!$A$39),"")</f>
        <v/>
      </c>
      <c r="AE42" s="285"/>
      <c r="AF42" s="285" t="str">
        <f ca="1">IF(AND('Mapa final'!$H$45="Muy Baja",'Mapa final'!$L$45="Mayor"),CONCATENATE("R",'Mapa final'!$A$45),"")</f>
        <v/>
      </c>
      <c r="AG42" s="286"/>
      <c r="AH42" s="296" t="str">
        <f ca="1">IF(AND('Mapa final'!$H$33="Muy Baja",'Mapa final'!$L$33="Catastrófico"),CONCATENATE("R",'Mapa final'!$A$33),"")</f>
        <v/>
      </c>
      <c r="AI42" s="297"/>
      <c r="AJ42" s="297" t="str">
        <f ca="1">IF(AND('Mapa final'!$H$39="Muy Baja",'Mapa final'!$L$39="Catastrófico"),CONCATENATE("R",'Mapa final'!$A$39),"")</f>
        <v/>
      </c>
      <c r="AK42" s="297"/>
      <c r="AL42" s="297" t="str">
        <f ca="1">IF(AND('Mapa final'!$H$45="Muy Baja",'Mapa final'!$L$45="Catastrófico"),CONCATENATE("R",'Mapa final'!$A$45),"")</f>
        <v/>
      </c>
      <c r="AM42" s="298"/>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38"/>
      <c r="C43" s="238"/>
      <c r="D43" s="239"/>
      <c r="E43" s="279"/>
      <c r="F43" s="280"/>
      <c r="G43" s="280"/>
      <c r="H43" s="280"/>
      <c r="I43" s="281"/>
      <c r="J43" s="316"/>
      <c r="K43" s="314"/>
      <c r="L43" s="314"/>
      <c r="M43" s="314"/>
      <c r="N43" s="314"/>
      <c r="O43" s="315"/>
      <c r="P43" s="316"/>
      <c r="Q43" s="314"/>
      <c r="R43" s="314"/>
      <c r="S43" s="314"/>
      <c r="T43" s="314"/>
      <c r="U43" s="315"/>
      <c r="V43" s="305"/>
      <c r="W43" s="306"/>
      <c r="X43" s="306"/>
      <c r="Y43" s="306"/>
      <c r="Z43" s="306"/>
      <c r="AA43" s="307"/>
      <c r="AB43" s="289"/>
      <c r="AC43" s="285"/>
      <c r="AD43" s="285"/>
      <c r="AE43" s="285"/>
      <c r="AF43" s="285"/>
      <c r="AG43" s="286"/>
      <c r="AH43" s="296"/>
      <c r="AI43" s="297"/>
      <c r="AJ43" s="297"/>
      <c r="AK43" s="297"/>
      <c r="AL43" s="297"/>
      <c r="AM43" s="298"/>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38"/>
      <c r="C44" s="238"/>
      <c r="D44" s="239"/>
      <c r="E44" s="279"/>
      <c r="F44" s="280"/>
      <c r="G44" s="280"/>
      <c r="H44" s="280"/>
      <c r="I44" s="281"/>
      <c r="J44" s="316" t="str">
        <f ca="1">IF(AND('Mapa final'!$H$51="Muy Baja",'Mapa final'!$L$51="Leve"),CONCATENATE("R",'Mapa final'!$A$51),"")</f>
        <v/>
      </c>
      <c r="K44" s="314"/>
      <c r="L44" s="314" t="str">
        <f>IF(AND('Mapa final'!$H$57="Muy Baja",'Mapa final'!$L$57="Leve"),CONCATENATE("R",'Mapa final'!$A$57),"")</f>
        <v/>
      </c>
      <c r="M44" s="314"/>
      <c r="N44" s="314" t="str">
        <f>IF(AND('Mapa final'!$H$63="Muy Baja",'Mapa final'!$L$63="Leve"),CONCATENATE("R",'Mapa final'!$A$63),"")</f>
        <v/>
      </c>
      <c r="O44" s="315"/>
      <c r="P44" s="316" t="str">
        <f ca="1">IF(AND('Mapa final'!$H$51="Muy Baja",'Mapa final'!$L$51="Menor"),CONCATENATE("R",'Mapa final'!$A$51),"")</f>
        <v/>
      </c>
      <c r="Q44" s="314"/>
      <c r="R44" s="314" t="str">
        <f>IF(AND('Mapa final'!$H$57="Muy Baja",'Mapa final'!$L$57="Menor"),CONCATENATE("R",'Mapa final'!$A$57),"")</f>
        <v/>
      </c>
      <c r="S44" s="314"/>
      <c r="T44" s="314" t="str">
        <f>IF(AND('Mapa final'!$H$63="Muy Baja",'Mapa final'!$L$63="Menor"),CONCATENATE("R",'Mapa final'!$A$63),"")</f>
        <v/>
      </c>
      <c r="U44" s="315"/>
      <c r="V44" s="305" t="str">
        <f ca="1">IF(AND('Mapa final'!$H$51="Muy Baja",'Mapa final'!$L$51="Moderado"),CONCATENATE("R",'Mapa final'!$A$51),"")</f>
        <v/>
      </c>
      <c r="W44" s="306"/>
      <c r="X44" s="306" t="str">
        <f>IF(AND('Mapa final'!$H$57="Muy Baja",'Mapa final'!$L$57="Moderado"),CONCATENATE("R",'Mapa final'!$A$57),"")</f>
        <v/>
      </c>
      <c r="Y44" s="306"/>
      <c r="Z44" s="306" t="str">
        <f>IF(AND('Mapa final'!$H$63="Muy Baja",'Mapa final'!$L$63="Moderado"),CONCATENATE("R",'Mapa final'!$A$63),"")</f>
        <v/>
      </c>
      <c r="AA44" s="307"/>
      <c r="AB44" s="289" t="str">
        <f ca="1">IF(AND('Mapa final'!$H$51="Muy Baja",'Mapa final'!$L$51="Mayor"),CONCATENATE("R",'Mapa final'!$A$51),"")</f>
        <v/>
      </c>
      <c r="AC44" s="285"/>
      <c r="AD44" s="285" t="str">
        <f>IF(AND('Mapa final'!$H$57="Muy Baja",'Mapa final'!$L$57="Mayor"),CONCATENATE("R",'Mapa final'!$A$57),"")</f>
        <v/>
      </c>
      <c r="AE44" s="285"/>
      <c r="AF44" s="285" t="str">
        <f>IF(AND('Mapa final'!$H$63="Muy Baja",'Mapa final'!$L$63="Mayor"),CONCATENATE("R",'Mapa final'!$A$63),"")</f>
        <v/>
      </c>
      <c r="AG44" s="286"/>
      <c r="AH44" s="296" t="str">
        <f ca="1">IF(AND('Mapa final'!$H$51="Muy Baja",'Mapa final'!$L$51="Catastrófico"),CONCATENATE("R",'Mapa final'!$A$51),"")</f>
        <v/>
      </c>
      <c r="AI44" s="297"/>
      <c r="AJ44" s="297" t="str">
        <f>IF(AND('Mapa final'!$H$57="Muy Baja",'Mapa final'!$L$57="Catastrófico"),CONCATENATE("R",'Mapa final'!$A$57),"")</f>
        <v/>
      </c>
      <c r="AK44" s="297"/>
      <c r="AL44" s="297" t="str">
        <f>IF(AND('Mapa final'!$H$63="Muy Baja",'Mapa final'!$L$63="Catastrófico"),CONCATENATE("R",'Mapa final'!$A$63),"")</f>
        <v/>
      </c>
      <c r="AM44" s="298"/>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38"/>
      <c r="C45" s="238"/>
      <c r="D45" s="239"/>
      <c r="E45" s="282"/>
      <c r="F45" s="283"/>
      <c r="G45" s="283"/>
      <c r="H45" s="283"/>
      <c r="I45" s="284"/>
      <c r="J45" s="317"/>
      <c r="K45" s="318"/>
      <c r="L45" s="318"/>
      <c r="M45" s="318"/>
      <c r="N45" s="318"/>
      <c r="O45" s="319"/>
      <c r="P45" s="317"/>
      <c r="Q45" s="318"/>
      <c r="R45" s="318"/>
      <c r="S45" s="318"/>
      <c r="T45" s="318"/>
      <c r="U45" s="319"/>
      <c r="V45" s="308"/>
      <c r="W45" s="309"/>
      <c r="X45" s="309"/>
      <c r="Y45" s="309"/>
      <c r="Z45" s="309"/>
      <c r="AA45" s="310"/>
      <c r="AB45" s="293"/>
      <c r="AC45" s="294"/>
      <c r="AD45" s="294"/>
      <c r="AE45" s="294"/>
      <c r="AF45" s="294"/>
      <c r="AG45" s="295"/>
      <c r="AH45" s="299"/>
      <c r="AI45" s="300"/>
      <c r="AJ45" s="300"/>
      <c r="AK45" s="300"/>
      <c r="AL45" s="300"/>
      <c r="AM45" s="301"/>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76" t="s">
        <v>108</v>
      </c>
      <c r="K46" s="277"/>
      <c r="L46" s="277"/>
      <c r="M46" s="277"/>
      <c r="N46" s="277"/>
      <c r="O46" s="278"/>
      <c r="P46" s="276" t="s">
        <v>107</v>
      </c>
      <c r="Q46" s="277"/>
      <c r="R46" s="277"/>
      <c r="S46" s="277"/>
      <c r="T46" s="277"/>
      <c r="U46" s="278"/>
      <c r="V46" s="276" t="s">
        <v>106</v>
      </c>
      <c r="W46" s="277"/>
      <c r="X46" s="277"/>
      <c r="Y46" s="277"/>
      <c r="Z46" s="277"/>
      <c r="AA46" s="278"/>
      <c r="AB46" s="276" t="s">
        <v>105</v>
      </c>
      <c r="AC46" s="292"/>
      <c r="AD46" s="277"/>
      <c r="AE46" s="277"/>
      <c r="AF46" s="277"/>
      <c r="AG46" s="278"/>
      <c r="AH46" s="276" t="s">
        <v>104</v>
      </c>
      <c r="AI46" s="277"/>
      <c r="AJ46" s="277"/>
      <c r="AK46" s="277"/>
      <c r="AL46" s="277"/>
      <c r="AM46" s="278"/>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49" t="s">
        <v>152</v>
      </c>
      <c r="C2" s="350"/>
      <c r="D2" s="350"/>
      <c r="E2" s="350"/>
      <c r="F2" s="350"/>
      <c r="G2" s="350"/>
      <c r="H2" s="350"/>
      <c r="I2" s="350"/>
      <c r="J2" s="291" t="s">
        <v>2</v>
      </c>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50"/>
      <c r="C3" s="350"/>
      <c r="D3" s="350"/>
      <c r="E3" s="350"/>
      <c r="F3" s="350"/>
      <c r="G3" s="350"/>
      <c r="H3" s="350"/>
      <c r="I3" s="350"/>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50"/>
      <c r="C4" s="350"/>
      <c r="D4" s="350"/>
      <c r="E4" s="350"/>
      <c r="F4" s="350"/>
      <c r="G4" s="350"/>
      <c r="H4" s="350"/>
      <c r="I4" s="350"/>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38" t="s">
        <v>4</v>
      </c>
      <c r="C6" s="238"/>
      <c r="D6" s="239"/>
      <c r="E6" s="333" t="s">
        <v>112</v>
      </c>
      <c r="F6" s="334"/>
      <c r="G6" s="334"/>
      <c r="H6" s="334"/>
      <c r="I6" s="351"/>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40" t="s">
        <v>77</v>
      </c>
      <c r="AP6" s="341"/>
      <c r="AQ6" s="341"/>
      <c r="AR6" s="341"/>
      <c r="AS6" s="341"/>
      <c r="AT6" s="342"/>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38"/>
      <c r="C7" s="238"/>
      <c r="D7" s="239"/>
      <c r="E7" s="337"/>
      <c r="F7" s="336"/>
      <c r="G7" s="336"/>
      <c r="H7" s="336"/>
      <c r="I7" s="352"/>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43"/>
      <c r="AP7" s="344"/>
      <c r="AQ7" s="344"/>
      <c r="AR7" s="344"/>
      <c r="AS7" s="344"/>
      <c r="AT7" s="345"/>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38"/>
      <c r="C8" s="238"/>
      <c r="D8" s="239"/>
      <c r="E8" s="337"/>
      <c r="F8" s="336"/>
      <c r="G8" s="336"/>
      <c r="H8" s="336"/>
      <c r="I8" s="352"/>
      <c r="J8" s="18" t="str">
        <f ca="1">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43"/>
      <c r="AP8" s="344"/>
      <c r="AQ8" s="344"/>
      <c r="AR8" s="344"/>
      <c r="AS8" s="344"/>
      <c r="AT8" s="345"/>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38"/>
      <c r="C9" s="238"/>
      <c r="D9" s="239"/>
      <c r="E9" s="337"/>
      <c r="F9" s="336"/>
      <c r="G9" s="336"/>
      <c r="H9" s="336"/>
      <c r="I9" s="352"/>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43"/>
      <c r="AP9" s="344"/>
      <c r="AQ9" s="344"/>
      <c r="AR9" s="344"/>
      <c r="AS9" s="344"/>
      <c r="AT9" s="345"/>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38"/>
      <c r="C10" s="238"/>
      <c r="D10" s="239"/>
      <c r="E10" s="337"/>
      <c r="F10" s="336"/>
      <c r="G10" s="336"/>
      <c r="H10" s="336"/>
      <c r="I10" s="352"/>
      <c r="J10" s="18" t="str">
        <f ca="1">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 ca="1">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 ca="1">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 ca="1">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 ca="1">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43"/>
      <c r="AP10" s="344"/>
      <c r="AQ10" s="344"/>
      <c r="AR10" s="344"/>
      <c r="AS10" s="344"/>
      <c r="AT10" s="345"/>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38"/>
      <c r="C11" s="238"/>
      <c r="D11" s="239"/>
      <c r="E11" s="337"/>
      <c r="F11" s="336"/>
      <c r="G11" s="336"/>
      <c r="H11" s="336"/>
      <c r="I11" s="352"/>
      <c r="J11" s="18" t="str">
        <f ca="1">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 ca="1">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 ca="1">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 ca="1">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 ca="1">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43"/>
      <c r="AP11" s="344"/>
      <c r="AQ11" s="344"/>
      <c r="AR11" s="344"/>
      <c r="AS11" s="344"/>
      <c r="AT11" s="345"/>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38"/>
      <c r="C12" s="238"/>
      <c r="D12" s="239"/>
      <c r="E12" s="337"/>
      <c r="F12" s="336"/>
      <c r="G12" s="336"/>
      <c r="H12" s="336"/>
      <c r="I12" s="352"/>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43"/>
      <c r="AP12" s="344"/>
      <c r="AQ12" s="344"/>
      <c r="AR12" s="344"/>
      <c r="AS12" s="344"/>
      <c r="AT12" s="345"/>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38"/>
      <c r="C13" s="238"/>
      <c r="D13" s="239"/>
      <c r="E13" s="337"/>
      <c r="F13" s="336"/>
      <c r="G13" s="336"/>
      <c r="H13" s="336"/>
      <c r="I13" s="352"/>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43"/>
      <c r="AP13" s="344"/>
      <c r="AQ13" s="344"/>
      <c r="AR13" s="344"/>
      <c r="AS13" s="344"/>
      <c r="AT13" s="345"/>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38"/>
      <c r="C14" s="238"/>
      <c r="D14" s="239"/>
      <c r="E14" s="337"/>
      <c r="F14" s="336"/>
      <c r="G14" s="336"/>
      <c r="H14" s="336"/>
      <c r="I14" s="352"/>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43"/>
      <c r="AP14" s="344"/>
      <c r="AQ14" s="344"/>
      <c r="AR14" s="344"/>
      <c r="AS14" s="344"/>
      <c r="AT14" s="345"/>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38"/>
      <c r="C15" s="238"/>
      <c r="D15" s="239"/>
      <c r="E15" s="338"/>
      <c r="F15" s="339"/>
      <c r="G15" s="339"/>
      <c r="H15" s="339"/>
      <c r="I15" s="353"/>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46"/>
      <c r="AP15" s="347"/>
      <c r="AQ15" s="347"/>
      <c r="AR15" s="347"/>
      <c r="AS15" s="347"/>
      <c r="AT15" s="348"/>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38"/>
      <c r="C16" s="238"/>
      <c r="D16" s="239"/>
      <c r="E16" s="333" t="s">
        <v>111</v>
      </c>
      <c r="F16" s="334"/>
      <c r="G16" s="334"/>
      <c r="H16" s="334"/>
      <c r="I16" s="334"/>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324" t="s">
        <v>78</v>
      </c>
      <c r="AP16" s="325"/>
      <c r="AQ16" s="325"/>
      <c r="AR16" s="325"/>
      <c r="AS16" s="325"/>
      <c r="AT16" s="326"/>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38"/>
      <c r="C17" s="238"/>
      <c r="D17" s="239"/>
      <c r="E17" s="335"/>
      <c r="F17" s="336"/>
      <c r="G17" s="336"/>
      <c r="H17" s="336"/>
      <c r="I17" s="336"/>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27"/>
      <c r="AP17" s="328"/>
      <c r="AQ17" s="328"/>
      <c r="AR17" s="328"/>
      <c r="AS17" s="328"/>
      <c r="AT17" s="32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38"/>
      <c r="C18" s="238"/>
      <c r="D18" s="239"/>
      <c r="E18" s="337"/>
      <c r="F18" s="336"/>
      <c r="G18" s="336"/>
      <c r="H18" s="336"/>
      <c r="I18" s="336"/>
      <c r="J18" s="33" t="str">
        <f ca="1">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27"/>
      <c r="AP18" s="328"/>
      <c r="AQ18" s="328"/>
      <c r="AR18" s="328"/>
      <c r="AS18" s="328"/>
      <c r="AT18" s="32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38"/>
      <c r="C19" s="238"/>
      <c r="D19" s="239"/>
      <c r="E19" s="337"/>
      <c r="F19" s="336"/>
      <c r="G19" s="336"/>
      <c r="H19" s="336"/>
      <c r="I19" s="336"/>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27"/>
      <c r="AP19" s="328"/>
      <c r="AQ19" s="328"/>
      <c r="AR19" s="328"/>
      <c r="AS19" s="328"/>
      <c r="AT19" s="32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38"/>
      <c r="C20" s="238"/>
      <c r="D20" s="239"/>
      <c r="E20" s="337"/>
      <c r="F20" s="336"/>
      <c r="G20" s="336"/>
      <c r="H20" s="336"/>
      <c r="I20" s="336"/>
      <c r="J20" s="33" t="str">
        <f ca="1">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 ca="1">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 ca="1">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 ca="1">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 ca="1">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27"/>
      <c r="AP20" s="328"/>
      <c r="AQ20" s="328"/>
      <c r="AR20" s="328"/>
      <c r="AS20" s="328"/>
      <c r="AT20" s="32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38"/>
      <c r="C21" s="238"/>
      <c r="D21" s="239"/>
      <c r="E21" s="337"/>
      <c r="F21" s="336"/>
      <c r="G21" s="336"/>
      <c r="H21" s="336"/>
      <c r="I21" s="336"/>
      <c r="J21" s="33" t="str">
        <f ca="1">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 ca="1">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 ca="1">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 ca="1">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 ca="1">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27"/>
      <c r="AP21" s="328"/>
      <c r="AQ21" s="328"/>
      <c r="AR21" s="328"/>
      <c r="AS21" s="328"/>
      <c r="AT21" s="32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38"/>
      <c r="C22" s="238"/>
      <c r="D22" s="239"/>
      <c r="E22" s="337"/>
      <c r="F22" s="336"/>
      <c r="G22" s="336"/>
      <c r="H22" s="336"/>
      <c r="I22" s="336"/>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27"/>
      <c r="AP22" s="328"/>
      <c r="AQ22" s="328"/>
      <c r="AR22" s="328"/>
      <c r="AS22" s="328"/>
      <c r="AT22" s="32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38"/>
      <c r="C23" s="238"/>
      <c r="D23" s="239"/>
      <c r="E23" s="337"/>
      <c r="F23" s="336"/>
      <c r="G23" s="336"/>
      <c r="H23" s="336"/>
      <c r="I23" s="336"/>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27"/>
      <c r="AP23" s="328"/>
      <c r="AQ23" s="328"/>
      <c r="AR23" s="328"/>
      <c r="AS23" s="328"/>
      <c r="AT23" s="32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38"/>
      <c r="C24" s="238"/>
      <c r="D24" s="239"/>
      <c r="E24" s="337"/>
      <c r="F24" s="336"/>
      <c r="G24" s="336"/>
      <c r="H24" s="336"/>
      <c r="I24" s="336"/>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27"/>
      <c r="AP24" s="328"/>
      <c r="AQ24" s="328"/>
      <c r="AR24" s="328"/>
      <c r="AS24" s="328"/>
      <c r="AT24" s="32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38"/>
      <c r="C25" s="238"/>
      <c r="D25" s="239"/>
      <c r="E25" s="338"/>
      <c r="F25" s="339"/>
      <c r="G25" s="339"/>
      <c r="H25" s="339"/>
      <c r="I25" s="339"/>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30"/>
      <c r="AP25" s="331"/>
      <c r="AQ25" s="331"/>
      <c r="AR25" s="331"/>
      <c r="AS25" s="331"/>
      <c r="AT25" s="332"/>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38"/>
      <c r="C26" s="238"/>
      <c r="D26" s="239"/>
      <c r="E26" s="333" t="s">
        <v>113</v>
      </c>
      <c r="F26" s="334"/>
      <c r="G26" s="334"/>
      <c r="H26" s="334"/>
      <c r="I26" s="351"/>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63" t="s">
        <v>79</v>
      </c>
      <c r="AP26" s="364"/>
      <c r="AQ26" s="364"/>
      <c r="AR26" s="364"/>
      <c r="AS26" s="364"/>
      <c r="AT26" s="365"/>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38"/>
      <c r="C27" s="238"/>
      <c r="D27" s="239"/>
      <c r="E27" s="335"/>
      <c r="F27" s="336"/>
      <c r="G27" s="336"/>
      <c r="H27" s="336"/>
      <c r="I27" s="352"/>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66"/>
      <c r="AP27" s="367"/>
      <c r="AQ27" s="367"/>
      <c r="AR27" s="367"/>
      <c r="AS27" s="367"/>
      <c r="AT27" s="368"/>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38"/>
      <c r="C28" s="238"/>
      <c r="D28" s="239"/>
      <c r="E28" s="337"/>
      <c r="F28" s="336"/>
      <c r="G28" s="336"/>
      <c r="H28" s="336"/>
      <c r="I28" s="352"/>
      <c r="J28" s="33" t="str">
        <f ca="1">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66"/>
      <c r="AP28" s="367"/>
      <c r="AQ28" s="367"/>
      <c r="AR28" s="367"/>
      <c r="AS28" s="367"/>
      <c r="AT28" s="368"/>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38"/>
      <c r="C29" s="238"/>
      <c r="D29" s="239"/>
      <c r="E29" s="337"/>
      <c r="F29" s="336"/>
      <c r="G29" s="336"/>
      <c r="H29" s="336"/>
      <c r="I29" s="352"/>
      <c r="J29" s="33" t="str">
        <f ca="1">IF(AND('Mapa final'!$Y$15="Media",'Mapa final'!$AA$15="Leve"),CONCATENATE("R4C",'Mapa final'!$O$15),"")</f>
        <v>R4C1</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66"/>
      <c r="AP29" s="367"/>
      <c r="AQ29" s="367"/>
      <c r="AR29" s="367"/>
      <c r="AS29" s="367"/>
      <c r="AT29" s="368"/>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38"/>
      <c r="C30" s="238"/>
      <c r="D30" s="239"/>
      <c r="E30" s="337"/>
      <c r="F30" s="336"/>
      <c r="G30" s="336"/>
      <c r="H30" s="336"/>
      <c r="I30" s="352"/>
      <c r="J30" s="33" t="str">
        <f ca="1">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 ca="1">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 ca="1">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 ca="1">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 ca="1">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66"/>
      <c r="AP30" s="367"/>
      <c r="AQ30" s="367"/>
      <c r="AR30" s="367"/>
      <c r="AS30" s="367"/>
      <c r="AT30" s="368"/>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38"/>
      <c r="C31" s="238"/>
      <c r="D31" s="239"/>
      <c r="E31" s="337"/>
      <c r="F31" s="336"/>
      <c r="G31" s="336"/>
      <c r="H31" s="336"/>
      <c r="I31" s="352"/>
      <c r="J31" s="33" t="str">
        <f ca="1">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 ca="1">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 ca="1">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 ca="1">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 ca="1">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66"/>
      <c r="AP31" s="367"/>
      <c r="AQ31" s="367"/>
      <c r="AR31" s="367"/>
      <c r="AS31" s="367"/>
      <c r="AT31" s="368"/>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38"/>
      <c r="C32" s="238"/>
      <c r="D32" s="239"/>
      <c r="E32" s="337"/>
      <c r="F32" s="336"/>
      <c r="G32" s="336"/>
      <c r="H32" s="336"/>
      <c r="I32" s="352"/>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66"/>
      <c r="AP32" s="367"/>
      <c r="AQ32" s="367"/>
      <c r="AR32" s="367"/>
      <c r="AS32" s="367"/>
      <c r="AT32" s="368"/>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38"/>
      <c r="C33" s="238"/>
      <c r="D33" s="239"/>
      <c r="E33" s="337"/>
      <c r="F33" s="336"/>
      <c r="G33" s="336"/>
      <c r="H33" s="336"/>
      <c r="I33" s="352"/>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66"/>
      <c r="AP33" s="367"/>
      <c r="AQ33" s="367"/>
      <c r="AR33" s="367"/>
      <c r="AS33" s="367"/>
      <c r="AT33" s="368"/>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38"/>
      <c r="C34" s="238"/>
      <c r="D34" s="239"/>
      <c r="E34" s="337"/>
      <c r="F34" s="336"/>
      <c r="G34" s="336"/>
      <c r="H34" s="336"/>
      <c r="I34" s="352"/>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66"/>
      <c r="AP34" s="367"/>
      <c r="AQ34" s="367"/>
      <c r="AR34" s="367"/>
      <c r="AS34" s="367"/>
      <c r="AT34" s="368"/>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38"/>
      <c r="C35" s="238"/>
      <c r="D35" s="239"/>
      <c r="E35" s="338"/>
      <c r="F35" s="339"/>
      <c r="G35" s="339"/>
      <c r="H35" s="339"/>
      <c r="I35" s="353"/>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69"/>
      <c r="AP35" s="370"/>
      <c r="AQ35" s="370"/>
      <c r="AR35" s="370"/>
      <c r="AS35" s="370"/>
      <c r="AT35" s="371"/>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38"/>
      <c r="C36" s="238"/>
      <c r="D36" s="239"/>
      <c r="E36" s="333" t="s">
        <v>110</v>
      </c>
      <c r="F36" s="334"/>
      <c r="G36" s="334"/>
      <c r="H36" s="334"/>
      <c r="I36" s="334"/>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54" t="s">
        <v>80</v>
      </c>
      <c r="AP36" s="355"/>
      <c r="AQ36" s="355"/>
      <c r="AR36" s="355"/>
      <c r="AS36" s="355"/>
      <c r="AT36" s="356"/>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38"/>
      <c r="C37" s="238"/>
      <c r="D37" s="239"/>
      <c r="E37" s="335"/>
      <c r="F37" s="336"/>
      <c r="G37" s="336"/>
      <c r="H37" s="336"/>
      <c r="I37" s="336"/>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57"/>
      <c r="AP37" s="358"/>
      <c r="AQ37" s="358"/>
      <c r="AR37" s="358"/>
      <c r="AS37" s="358"/>
      <c r="AT37" s="35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38"/>
      <c r="C38" s="238"/>
      <c r="D38" s="239"/>
      <c r="E38" s="337"/>
      <c r="F38" s="336"/>
      <c r="G38" s="336"/>
      <c r="H38" s="336"/>
      <c r="I38" s="336"/>
      <c r="J38" s="42" t="str">
        <f ca="1">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R3C1</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57"/>
      <c r="AP38" s="358"/>
      <c r="AQ38" s="358"/>
      <c r="AR38" s="358"/>
      <c r="AS38" s="358"/>
      <c r="AT38" s="35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38"/>
      <c r="C39" s="238"/>
      <c r="D39" s="239"/>
      <c r="E39" s="337"/>
      <c r="F39" s="336"/>
      <c r="G39" s="336"/>
      <c r="H39" s="336"/>
      <c r="I39" s="336"/>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57"/>
      <c r="AP39" s="358"/>
      <c r="AQ39" s="358"/>
      <c r="AR39" s="358"/>
      <c r="AS39" s="358"/>
      <c r="AT39" s="35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38"/>
      <c r="C40" s="238"/>
      <c r="D40" s="239"/>
      <c r="E40" s="337"/>
      <c r="F40" s="336"/>
      <c r="G40" s="336"/>
      <c r="H40" s="336"/>
      <c r="I40" s="336"/>
      <c r="J40" s="42" t="str">
        <f ca="1">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 ca="1">IF(AND('Mapa final'!$Y$21="Baja",'Mapa final'!$AA$21="Menor"),CONCATENATE("R5C",'Mapa final'!$O$21),"")</f>
        <v>R5C1</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 ca="1">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 ca="1">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 ca="1">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57"/>
      <c r="AP40" s="358"/>
      <c r="AQ40" s="358"/>
      <c r="AR40" s="358"/>
      <c r="AS40" s="358"/>
      <c r="AT40" s="35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38"/>
      <c r="C41" s="238"/>
      <c r="D41" s="239"/>
      <c r="E41" s="337"/>
      <c r="F41" s="336"/>
      <c r="G41" s="336"/>
      <c r="H41" s="336"/>
      <c r="I41" s="336"/>
      <c r="J41" s="42" t="str">
        <f ca="1">IF(AND('Mapa final'!$Y$27="Baja",'Mapa final'!$AA$27="Leve"),CONCATENATE("R6C",'Mapa final'!$O$27),"")</f>
        <v/>
      </c>
      <c r="K41" s="43" t="str">
        <f>IF(AND('Mapa final'!$Y$28="Baja",'Mapa final'!$AA$28="Leve"),CONCATENATE("R6C",'Mapa final'!$O$28),"")</f>
        <v>R6C2</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 ca="1">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 ca="1">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 ca="1">IF(AND('Mapa final'!$Y$27="Baja",'Mapa final'!$AA$27="Mayor"),CONCATENATE("R6C",'Mapa final'!$O$27),"")</f>
        <v>R6C1</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 ca="1">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57"/>
      <c r="AP41" s="358"/>
      <c r="AQ41" s="358"/>
      <c r="AR41" s="358"/>
      <c r="AS41" s="358"/>
      <c r="AT41" s="35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38"/>
      <c r="C42" s="238"/>
      <c r="D42" s="239"/>
      <c r="E42" s="337"/>
      <c r="F42" s="336"/>
      <c r="G42" s="336"/>
      <c r="H42" s="336"/>
      <c r="I42" s="336"/>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57"/>
      <c r="AP42" s="358"/>
      <c r="AQ42" s="358"/>
      <c r="AR42" s="358"/>
      <c r="AS42" s="358"/>
      <c r="AT42" s="35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38"/>
      <c r="C43" s="238"/>
      <c r="D43" s="239"/>
      <c r="E43" s="337"/>
      <c r="F43" s="336"/>
      <c r="G43" s="336"/>
      <c r="H43" s="336"/>
      <c r="I43" s="336"/>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57"/>
      <c r="AP43" s="358"/>
      <c r="AQ43" s="358"/>
      <c r="AR43" s="358"/>
      <c r="AS43" s="358"/>
      <c r="AT43" s="35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38"/>
      <c r="C44" s="238"/>
      <c r="D44" s="239"/>
      <c r="E44" s="337"/>
      <c r="F44" s="336"/>
      <c r="G44" s="336"/>
      <c r="H44" s="336"/>
      <c r="I44" s="336"/>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57"/>
      <c r="AP44" s="358"/>
      <c r="AQ44" s="358"/>
      <c r="AR44" s="358"/>
      <c r="AS44" s="358"/>
      <c r="AT44" s="35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38"/>
      <c r="C45" s="238"/>
      <c r="D45" s="239"/>
      <c r="E45" s="338"/>
      <c r="F45" s="339"/>
      <c r="G45" s="339"/>
      <c r="H45" s="339"/>
      <c r="I45" s="339"/>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60"/>
      <c r="AP45" s="361"/>
      <c r="AQ45" s="361"/>
      <c r="AR45" s="361"/>
      <c r="AS45" s="361"/>
      <c r="AT45" s="362"/>
    </row>
    <row r="46" spans="1:80" ht="46.5" customHeight="1" x14ac:dyDescent="0.35">
      <c r="A46" s="49"/>
      <c r="B46" s="238"/>
      <c r="C46" s="238"/>
      <c r="D46" s="239"/>
      <c r="E46" s="333" t="s">
        <v>109</v>
      </c>
      <c r="F46" s="334"/>
      <c r="G46" s="334"/>
      <c r="H46" s="334"/>
      <c r="I46" s="351"/>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38"/>
      <c r="C47" s="238"/>
      <c r="D47" s="239"/>
      <c r="E47" s="335"/>
      <c r="F47" s="336"/>
      <c r="G47" s="336"/>
      <c r="H47" s="336"/>
      <c r="I47" s="352"/>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38"/>
      <c r="C48" s="238"/>
      <c r="D48" s="239"/>
      <c r="E48" s="335"/>
      <c r="F48" s="336"/>
      <c r="G48" s="336"/>
      <c r="H48" s="336"/>
      <c r="I48" s="352"/>
      <c r="J48" s="42" t="str">
        <f ca="1">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38"/>
      <c r="C49" s="238"/>
      <c r="D49" s="239"/>
      <c r="E49" s="337"/>
      <c r="F49" s="336"/>
      <c r="G49" s="336"/>
      <c r="H49" s="336"/>
      <c r="I49" s="352"/>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38"/>
      <c r="C50" s="238"/>
      <c r="D50" s="239"/>
      <c r="E50" s="337"/>
      <c r="F50" s="336"/>
      <c r="G50" s="336"/>
      <c r="H50" s="336"/>
      <c r="I50" s="352"/>
      <c r="J50" s="42" t="str">
        <f ca="1">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 ca="1">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 ca="1">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 ca="1">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 ca="1">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38"/>
      <c r="C51" s="238"/>
      <c r="D51" s="239"/>
      <c r="E51" s="337"/>
      <c r="F51" s="336"/>
      <c r="G51" s="336"/>
      <c r="H51" s="336"/>
      <c r="I51" s="352"/>
      <c r="J51" s="42" t="str">
        <f ca="1">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 ca="1">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 ca="1">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 ca="1">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 ca="1">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38"/>
      <c r="C52" s="238"/>
      <c r="D52" s="239"/>
      <c r="E52" s="337"/>
      <c r="F52" s="336"/>
      <c r="G52" s="336"/>
      <c r="H52" s="336"/>
      <c r="I52" s="352"/>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38"/>
      <c r="C53" s="238"/>
      <c r="D53" s="239"/>
      <c r="E53" s="337"/>
      <c r="F53" s="336"/>
      <c r="G53" s="336"/>
      <c r="H53" s="336"/>
      <c r="I53" s="352"/>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38"/>
      <c r="C54" s="238"/>
      <c r="D54" s="239"/>
      <c r="E54" s="337"/>
      <c r="F54" s="336"/>
      <c r="G54" s="336"/>
      <c r="H54" s="336"/>
      <c r="I54" s="352"/>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38"/>
      <c r="C55" s="238"/>
      <c r="D55" s="239"/>
      <c r="E55" s="338"/>
      <c r="F55" s="339"/>
      <c r="G55" s="339"/>
      <c r="H55" s="339"/>
      <c r="I55" s="353"/>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33" t="s">
        <v>108</v>
      </c>
      <c r="K56" s="334"/>
      <c r="L56" s="334"/>
      <c r="M56" s="334"/>
      <c r="N56" s="334"/>
      <c r="O56" s="351"/>
      <c r="P56" s="333" t="s">
        <v>107</v>
      </c>
      <c r="Q56" s="334"/>
      <c r="R56" s="334"/>
      <c r="S56" s="334"/>
      <c r="T56" s="334"/>
      <c r="U56" s="351"/>
      <c r="V56" s="333" t="s">
        <v>106</v>
      </c>
      <c r="W56" s="334"/>
      <c r="X56" s="334"/>
      <c r="Y56" s="334"/>
      <c r="Z56" s="334"/>
      <c r="AA56" s="351"/>
      <c r="AB56" s="333" t="s">
        <v>105</v>
      </c>
      <c r="AC56" s="372"/>
      <c r="AD56" s="334"/>
      <c r="AE56" s="334"/>
      <c r="AF56" s="334"/>
      <c r="AG56" s="351"/>
      <c r="AH56" s="333" t="s">
        <v>104</v>
      </c>
      <c r="AI56" s="334"/>
      <c r="AJ56" s="334"/>
      <c r="AK56" s="334"/>
      <c r="AL56" s="334"/>
      <c r="AM56" s="351"/>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37"/>
      <c r="K57" s="336"/>
      <c r="L57" s="336"/>
      <c r="M57" s="336"/>
      <c r="N57" s="336"/>
      <c r="O57" s="352"/>
      <c r="P57" s="337"/>
      <c r="Q57" s="336"/>
      <c r="R57" s="336"/>
      <c r="S57" s="336"/>
      <c r="T57" s="336"/>
      <c r="U57" s="352"/>
      <c r="V57" s="337"/>
      <c r="W57" s="336"/>
      <c r="X57" s="336"/>
      <c r="Y57" s="336"/>
      <c r="Z57" s="336"/>
      <c r="AA57" s="352"/>
      <c r="AB57" s="337"/>
      <c r="AC57" s="336"/>
      <c r="AD57" s="336"/>
      <c r="AE57" s="336"/>
      <c r="AF57" s="336"/>
      <c r="AG57" s="352"/>
      <c r="AH57" s="337"/>
      <c r="AI57" s="336"/>
      <c r="AJ57" s="336"/>
      <c r="AK57" s="336"/>
      <c r="AL57" s="336"/>
      <c r="AM57" s="352"/>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37"/>
      <c r="K58" s="336"/>
      <c r="L58" s="336"/>
      <c r="M58" s="336"/>
      <c r="N58" s="336"/>
      <c r="O58" s="352"/>
      <c r="P58" s="337"/>
      <c r="Q58" s="336"/>
      <c r="R58" s="336"/>
      <c r="S58" s="336"/>
      <c r="T58" s="336"/>
      <c r="U58" s="352"/>
      <c r="V58" s="337"/>
      <c r="W58" s="336"/>
      <c r="X58" s="336"/>
      <c r="Y58" s="336"/>
      <c r="Z58" s="336"/>
      <c r="AA58" s="352"/>
      <c r="AB58" s="337"/>
      <c r="AC58" s="336"/>
      <c r="AD58" s="336"/>
      <c r="AE58" s="336"/>
      <c r="AF58" s="336"/>
      <c r="AG58" s="352"/>
      <c r="AH58" s="337"/>
      <c r="AI58" s="336"/>
      <c r="AJ58" s="336"/>
      <c r="AK58" s="336"/>
      <c r="AL58" s="336"/>
      <c r="AM58" s="352"/>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37"/>
      <c r="K59" s="336"/>
      <c r="L59" s="336"/>
      <c r="M59" s="336"/>
      <c r="N59" s="336"/>
      <c r="O59" s="352"/>
      <c r="P59" s="337"/>
      <c r="Q59" s="336"/>
      <c r="R59" s="336"/>
      <c r="S59" s="336"/>
      <c r="T59" s="336"/>
      <c r="U59" s="352"/>
      <c r="V59" s="337"/>
      <c r="W59" s="336"/>
      <c r="X59" s="336"/>
      <c r="Y59" s="336"/>
      <c r="Z59" s="336"/>
      <c r="AA59" s="352"/>
      <c r="AB59" s="337"/>
      <c r="AC59" s="336"/>
      <c r="AD59" s="336"/>
      <c r="AE59" s="336"/>
      <c r="AF59" s="336"/>
      <c r="AG59" s="352"/>
      <c r="AH59" s="337"/>
      <c r="AI59" s="336"/>
      <c r="AJ59" s="336"/>
      <c r="AK59" s="336"/>
      <c r="AL59" s="336"/>
      <c r="AM59" s="352"/>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37"/>
      <c r="K60" s="336"/>
      <c r="L60" s="336"/>
      <c r="M60" s="336"/>
      <c r="N60" s="336"/>
      <c r="O60" s="352"/>
      <c r="P60" s="337"/>
      <c r="Q60" s="336"/>
      <c r="R60" s="336"/>
      <c r="S60" s="336"/>
      <c r="T60" s="336"/>
      <c r="U60" s="352"/>
      <c r="V60" s="337"/>
      <c r="W60" s="336"/>
      <c r="X60" s="336"/>
      <c r="Y60" s="336"/>
      <c r="Z60" s="336"/>
      <c r="AA60" s="352"/>
      <c r="AB60" s="337"/>
      <c r="AC60" s="336"/>
      <c r="AD60" s="336"/>
      <c r="AE60" s="336"/>
      <c r="AF60" s="336"/>
      <c r="AG60" s="352"/>
      <c r="AH60" s="337"/>
      <c r="AI60" s="336"/>
      <c r="AJ60" s="336"/>
      <c r="AK60" s="336"/>
      <c r="AL60" s="336"/>
      <c r="AM60" s="352"/>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38"/>
      <c r="K61" s="339"/>
      <c r="L61" s="339"/>
      <c r="M61" s="339"/>
      <c r="N61" s="339"/>
      <c r="O61" s="353"/>
      <c r="P61" s="338"/>
      <c r="Q61" s="339"/>
      <c r="R61" s="339"/>
      <c r="S61" s="339"/>
      <c r="T61" s="339"/>
      <c r="U61" s="353"/>
      <c r="V61" s="338"/>
      <c r="W61" s="339"/>
      <c r="X61" s="339"/>
      <c r="Y61" s="339"/>
      <c r="Z61" s="339"/>
      <c r="AA61" s="353"/>
      <c r="AB61" s="338"/>
      <c r="AC61" s="339"/>
      <c r="AD61" s="339"/>
      <c r="AE61" s="339"/>
      <c r="AF61" s="339"/>
      <c r="AG61" s="353"/>
      <c r="AH61" s="338"/>
      <c r="AI61" s="339"/>
      <c r="AJ61" s="339"/>
      <c r="AK61" s="339"/>
      <c r="AL61" s="339"/>
      <c r="AM61" s="353"/>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73" t="s">
        <v>53</v>
      </c>
      <c r="C1" s="373"/>
      <c r="D1" s="373"/>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74" t="s">
        <v>61</v>
      </c>
      <c r="C1" s="374"/>
      <c r="D1" s="374"/>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75" t="s">
        <v>76</v>
      </c>
      <c r="C1" s="376"/>
      <c r="D1" s="376"/>
      <c r="E1" s="376"/>
      <c r="F1" s="377"/>
    </row>
    <row r="2" spans="2:6" ht="16.5" thickBot="1" x14ac:dyDescent="0.3">
      <c r="B2" s="55"/>
      <c r="C2" s="55"/>
      <c r="D2" s="55"/>
      <c r="E2" s="55"/>
      <c r="F2" s="55"/>
    </row>
    <row r="3" spans="2:6" ht="16.5" thickBot="1" x14ac:dyDescent="0.25">
      <c r="B3" s="379" t="s">
        <v>62</v>
      </c>
      <c r="C3" s="380"/>
      <c r="D3" s="380"/>
      <c r="E3" s="67" t="s">
        <v>63</v>
      </c>
      <c r="F3" s="68" t="s">
        <v>64</v>
      </c>
    </row>
    <row r="4" spans="2:6" ht="31.5" x14ac:dyDescent="0.2">
      <c r="B4" s="381" t="s">
        <v>65</v>
      </c>
      <c r="C4" s="383" t="s">
        <v>13</v>
      </c>
      <c r="D4" s="56" t="s">
        <v>14</v>
      </c>
      <c r="E4" s="57" t="s">
        <v>66</v>
      </c>
      <c r="F4" s="58">
        <v>0.25</v>
      </c>
    </row>
    <row r="5" spans="2:6" ht="47.25" x14ac:dyDescent="0.2">
      <c r="B5" s="382"/>
      <c r="C5" s="384"/>
      <c r="D5" s="59" t="s">
        <v>15</v>
      </c>
      <c r="E5" s="60" t="s">
        <v>67</v>
      </c>
      <c r="F5" s="61">
        <v>0.15</v>
      </c>
    </row>
    <row r="6" spans="2:6" ht="47.25" x14ac:dyDescent="0.2">
      <c r="B6" s="382"/>
      <c r="C6" s="384"/>
      <c r="D6" s="59" t="s">
        <v>16</v>
      </c>
      <c r="E6" s="60" t="s">
        <v>68</v>
      </c>
      <c r="F6" s="61">
        <v>0.1</v>
      </c>
    </row>
    <row r="7" spans="2:6" ht="63" x14ac:dyDescent="0.2">
      <c r="B7" s="382"/>
      <c r="C7" s="384" t="s">
        <v>17</v>
      </c>
      <c r="D7" s="59" t="s">
        <v>10</v>
      </c>
      <c r="E7" s="60" t="s">
        <v>69</v>
      </c>
      <c r="F7" s="61">
        <v>0.25</v>
      </c>
    </row>
    <row r="8" spans="2:6" ht="31.5" x14ac:dyDescent="0.2">
      <c r="B8" s="382"/>
      <c r="C8" s="384"/>
      <c r="D8" s="59" t="s">
        <v>9</v>
      </c>
      <c r="E8" s="60" t="s">
        <v>70</v>
      </c>
      <c r="F8" s="61">
        <v>0.15</v>
      </c>
    </row>
    <row r="9" spans="2:6" ht="47.25" x14ac:dyDescent="0.2">
      <c r="B9" s="382" t="s">
        <v>154</v>
      </c>
      <c r="C9" s="384" t="s">
        <v>18</v>
      </c>
      <c r="D9" s="59" t="s">
        <v>19</v>
      </c>
      <c r="E9" s="60" t="s">
        <v>71</v>
      </c>
      <c r="F9" s="62" t="s">
        <v>72</v>
      </c>
    </row>
    <row r="10" spans="2:6" ht="63" x14ac:dyDescent="0.2">
      <c r="B10" s="382"/>
      <c r="C10" s="384"/>
      <c r="D10" s="59" t="s">
        <v>20</v>
      </c>
      <c r="E10" s="60" t="s">
        <v>73</v>
      </c>
      <c r="F10" s="62" t="s">
        <v>72</v>
      </c>
    </row>
    <row r="11" spans="2:6" ht="47.25" x14ac:dyDescent="0.2">
      <c r="B11" s="382"/>
      <c r="C11" s="384" t="s">
        <v>21</v>
      </c>
      <c r="D11" s="59" t="s">
        <v>22</v>
      </c>
      <c r="E11" s="60" t="s">
        <v>74</v>
      </c>
      <c r="F11" s="62" t="s">
        <v>72</v>
      </c>
    </row>
    <row r="12" spans="2:6" ht="47.25" x14ac:dyDescent="0.2">
      <c r="B12" s="382"/>
      <c r="C12" s="384"/>
      <c r="D12" s="59" t="s">
        <v>23</v>
      </c>
      <c r="E12" s="60" t="s">
        <v>75</v>
      </c>
      <c r="F12" s="62" t="s">
        <v>72</v>
      </c>
    </row>
    <row r="13" spans="2:6" ht="31.5" x14ac:dyDescent="0.2">
      <c r="B13" s="382"/>
      <c r="C13" s="384" t="s">
        <v>24</v>
      </c>
      <c r="D13" s="59" t="s">
        <v>115</v>
      </c>
      <c r="E13" s="60" t="s">
        <v>118</v>
      </c>
      <c r="F13" s="62" t="s">
        <v>72</v>
      </c>
    </row>
    <row r="14" spans="2:6" ht="32.25" thickBot="1" x14ac:dyDescent="0.25">
      <c r="B14" s="385"/>
      <c r="C14" s="386"/>
      <c r="D14" s="63" t="s">
        <v>116</v>
      </c>
      <c r="E14" s="64" t="s">
        <v>117</v>
      </c>
      <c r="F14" s="65" t="s">
        <v>72</v>
      </c>
    </row>
    <row r="15" spans="2:6" ht="49.5" customHeight="1" x14ac:dyDescent="0.2">
      <c r="B15" s="378" t="s">
        <v>151</v>
      </c>
      <c r="C15" s="378"/>
      <c r="D15" s="378"/>
      <c r="E15" s="378"/>
      <c r="F15" s="378"/>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2026-01-20T04:25:39Z</dcterms:modified>
</cp:coreProperties>
</file>